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michiganstate-my.sharepoint.com/personal/laportej_msu_edu/Documents/Documents/Farm Management Files/Budgets &amp; Tools/Crop Budgets/Estimating Tool (Corn Soybeans Wheat)/Published Version/"/>
    </mc:Choice>
  </mc:AlternateContent>
  <xr:revisionPtr revIDLastSave="36" documentId="8_{19F210D0-4B74-4AD5-805C-81552C40EDED}" xr6:coauthVersionLast="47" xr6:coauthVersionMax="47" xr10:uidLastSave="{E9E49072-9F07-4DA7-9454-8D641FE5C0C2}"/>
  <workbookProtection workbookAlgorithmName="SHA-512" workbookHashValue="stA/umS3xIquV1zjwGtm8l951JnV0cBQ7FgBhjOpDPLoWtXVdCrM/QiE38tAfqbPi8PeoiSi7hycqZEao15GuA==" workbookSaltValue="r+rAoNIurKnEWFtsQro2+Q==" workbookSpinCount="100000" lockStructure="1"/>
  <bookViews>
    <workbookView xWindow="-108" yWindow="-108" windowWidth="23256" windowHeight="12576" tabRatio="947" xr2:uid="{00000000-000D-0000-FFFF-FFFF00000000}"/>
  </bookViews>
  <sheets>
    <sheet name="Instructions" sheetId="16" r:id="rId1"/>
    <sheet name="Crop Budget (Main)" sheetId="1" r:id="rId2"/>
    <sheet name="Variable &amp; Fixed" sheetId="6" r:id="rId3"/>
    <sheet name="Chemical Plan" sheetId="8" r:id="rId4"/>
    <sheet name="Adjuvant Help Guide" sheetId="17" r:id="rId5"/>
    <sheet name="Corn K Calculations" sheetId="26" state="hidden" r:id="rId6"/>
    <sheet name="Soybean K Calculations" sheetId="27" state="hidden" r:id="rId7"/>
    <sheet name="Wheat K Calculations" sheetId="28" state="hidden" r:id="rId8"/>
    <sheet name="Nutrient Management" sheetId="30" r:id="rId9"/>
    <sheet name="Manure and Nutrient Credits" sheetId="31" state="hidden" r:id="rId10"/>
    <sheet name="Fertilizer Products &amp; Pricing" sheetId="3" r:id="rId11"/>
    <sheet name="Fertilizer Plan" sheetId="9" r:id="rId12"/>
    <sheet name="Loans &amp; Financing" sheetId="2" r:id="rId13"/>
    <sheet name="Capital &amp; Opportunity" sheetId="19" r:id="rId14"/>
    <sheet name="Other Income" sheetId="20" r:id="rId15"/>
    <sheet name="Chemical List (Corn)" sheetId="4" r:id="rId16"/>
    <sheet name="Chemical List (Soys)" sheetId="21" r:id="rId17"/>
    <sheet name="Chemical List (Wheat)" sheetId="22" r:id="rId18"/>
    <sheet name="Optimization" sheetId="23" r:id="rId19"/>
    <sheet name="Product Purchase List (Corn)" sheetId="32" r:id="rId20"/>
    <sheet name="Product Purchase List (Soys)" sheetId="33" r:id="rId21"/>
    <sheet name="Product Purchase List (Wheat)" sheetId="34" r:id="rId22"/>
    <sheet name="Charts" sheetId="24" state="hidden" r:id="rId23"/>
  </sheets>
  <externalReferences>
    <externalReference r:id="rId24"/>
    <externalReference r:id="rId25"/>
  </externalReferences>
  <definedNames>
    <definedName name="CornAdjuvants" localSheetId="9">#REF!</definedName>
    <definedName name="CornAdjuvants" localSheetId="8">#REF!</definedName>
    <definedName name="CornAdjuvants">'Chemical List (Corn)'!$A$111:$D$123</definedName>
    <definedName name="CornFungicides" localSheetId="9">#REF!</definedName>
    <definedName name="CornFungicides" localSheetId="8">#REF!</definedName>
    <definedName name="CornFungicides">'Chemical List (Corn)'!$A$128:$D$149</definedName>
    <definedName name="CornInsecticides" localSheetId="9">#REF!</definedName>
    <definedName name="CornInsecticides" localSheetId="8">#REF!</definedName>
    <definedName name="CornInsecticides">'Chemical List (Corn)'!$A$160:$D$239</definedName>
    <definedName name="CornPostChemicals" localSheetId="9">#REF!</definedName>
    <definedName name="CornPostChemicals" localSheetId="8">#REF!</definedName>
    <definedName name="CornPostChemicals">'Chemical List (Corn)'!$A$59:$F$107</definedName>
    <definedName name="CornPreChemicals" localSheetId="9">#REF!</definedName>
    <definedName name="CornPreChemicals" localSheetId="8">#REF!</definedName>
    <definedName name="CornPreChemicals">'Chemical List (Corn)'!$A$4:$F$56</definedName>
    <definedName name="Foliars" localSheetId="9">#REF!</definedName>
    <definedName name="Foliars" localSheetId="8">#REF!</definedName>
    <definedName name="Foliars">'Chemical List (Corn)'!$A$128:$A$135</definedName>
    <definedName name="Lime" localSheetId="9">'[1]Fertilizer Products &amp; Pricing'!$A$60:$O$68</definedName>
    <definedName name="Lime" localSheetId="8">'[1]Fertilizer Products &amp; Pricing'!$A$60:$O$68</definedName>
    <definedName name="Lime">'Fertilizer Products &amp; Pricing'!$A$70:$R$78</definedName>
    <definedName name="Macronutrients" localSheetId="9">'[1]Fertilizer Products &amp; Pricing'!$A$4:$O$39</definedName>
    <definedName name="Macronutrients" localSheetId="8">'[1]Fertilizer Products &amp; Pricing'!$A$4:$O$39</definedName>
    <definedName name="Macronutrients">'Fertilizer Products &amp; Pricing'!$A$4:$R$44</definedName>
    <definedName name="Micronutrients" localSheetId="9">'[1]Fertilizer Products &amp; Pricing'!$A$43:$O$56</definedName>
    <definedName name="Micronutrients" localSheetId="8">'[1]Fertilizer Products &amp; Pricing'!$A$43:$O$56</definedName>
    <definedName name="Micronutrients">'Fertilizer Products &amp; Pricing'!$A$48:$R$66</definedName>
    <definedName name="Moisture">'[2]Grain Handling'!$C$51:$C$66</definedName>
    <definedName name="NitrogenStabilizers" localSheetId="9">'[1]Fertilizer Products &amp; Pricing'!$A$72:$O$81</definedName>
    <definedName name="NitrogenStabilizers" localSheetId="8">'[1]Fertilizer Products &amp; Pricing'!$A$72:$O$81</definedName>
    <definedName name="NitrogenStabilizers">'Fertilizer Products &amp; Pricing'!$A$82:$R$91</definedName>
    <definedName name="_xlnm.Print_Area" localSheetId="13">'Capital &amp; Opportunity'!$A$1:$H$53</definedName>
    <definedName name="_xlnm.Print_Area" localSheetId="3">'Chemical Plan'!$A$1:$H$84,'Chemical Plan'!$K$1:$R$84,'Chemical Plan'!$U$1:$AB$84</definedName>
    <definedName name="_xlnm.Print_Area" localSheetId="1">'Crop Budget (Main)'!$A$1:$S$71,'Crop Budget (Main)'!$A$81:$M$154,'Crop Budget (Main)'!$A$155:$S$211</definedName>
    <definedName name="_xlnm.Print_Area" localSheetId="11">'Fertilizer Plan'!$A$1:$K$84,'Fertilizer Plan'!$M$1:$W$84,'Fertilizer Plan'!$Y$1:$AI$84</definedName>
    <definedName name="_xlnm.Print_Area" localSheetId="10">'Fertilizer Products &amp; Pricing'!$A$1:$Z$91</definedName>
    <definedName name="_xlnm.Print_Area" localSheetId="0">Instructions!$A$1:$R$49</definedName>
    <definedName name="_xlnm.Print_Area" localSheetId="12">'Loans &amp; Financing'!$B$1:$J$44,'Loans &amp; Financing'!$L$5:$V$15</definedName>
    <definedName name="_xlnm.Print_Area" localSheetId="8">'Nutrient Management'!$B$1:$L$79</definedName>
    <definedName name="_xlnm.Print_Area" localSheetId="18">Optimization!$A$1:$G$16</definedName>
    <definedName name="_xlnm.Print_Area" localSheetId="19">'Product Purchase List (Corn)'!$A$1:$O$49</definedName>
    <definedName name="_xlnm.Print_Area" localSheetId="20">'Product Purchase List (Soys)'!$A$1:$O$49</definedName>
    <definedName name="_xlnm.Print_Area" localSheetId="21">'Product Purchase List (Wheat)'!$A$1:$O$49</definedName>
    <definedName name="solver_adj" localSheetId="18" hidden="1">Optimization!$D$4:$D$6</definedName>
    <definedName name="solver_cvg" localSheetId="18" hidden="1">0.0001</definedName>
    <definedName name="solver_drv" localSheetId="18" hidden="1">2</definedName>
    <definedName name="solver_eng" localSheetId="18" hidden="1">2</definedName>
    <definedName name="solver_est" localSheetId="18" hidden="1">1</definedName>
    <definedName name="solver_itr" localSheetId="18" hidden="1">2147483647</definedName>
    <definedName name="solver_lhs1" localSheetId="18" hidden="1">Optimization!$C$9</definedName>
    <definedName name="solver_lhs2" localSheetId="18" hidden="1">Optimization!$C$10</definedName>
    <definedName name="solver_lhs3" localSheetId="18" hidden="1">Optimization!$C$11</definedName>
    <definedName name="solver_lhs4" localSheetId="18" hidden="1">Optimization!$C$12</definedName>
    <definedName name="solver_lhs5" localSheetId="18" hidden="1">Optimization!$C$13</definedName>
    <definedName name="solver_lhs6" localSheetId="18" hidden="1">Optimization!$D$4:$D$6</definedName>
    <definedName name="solver_lhs7" localSheetId="18" hidden="1">Optimization!$J$9:$J$11</definedName>
    <definedName name="solver_mip" localSheetId="18" hidden="1">2147483647</definedName>
    <definedName name="solver_mni" localSheetId="18" hidden="1">30</definedName>
    <definedName name="solver_mrt" localSheetId="18" hidden="1">0.075</definedName>
    <definedName name="solver_msl" localSheetId="18" hidden="1">2</definedName>
    <definedName name="solver_neg" localSheetId="18" hidden="1">1</definedName>
    <definedName name="solver_nod" localSheetId="18" hidden="1">2147483647</definedName>
    <definedName name="solver_num" localSheetId="18" hidden="1">7</definedName>
    <definedName name="solver_nwt" localSheetId="18" hidden="1">1</definedName>
    <definedName name="solver_opt" localSheetId="18" hidden="1">Optimization!$C$15</definedName>
    <definedName name="solver_pre" localSheetId="18" hidden="1">0.000001</definedName>
    <definedName name="solver_rbv" localSheetId="18" hidden="1">2</definedName>
    <definedName name="solver_rel1" localSheetId="18" hidden="1">1</definedName>
    <definedName name="solver_rel2" localSheetId="18" hidden="1">3</definedName>
    <definedName name="solver_rel3" localSheetId="18" hidden="1">3</definedName>
    <definedName name="solver_rel4" localSheetId="18" hidden="1">3</definedName>
    <definedName name="solver_rel5" localSheetId="18" hidden="1">2</definedName>
    <definedName name="solver_rel6" localSheetId="18" hidden="1">4</definedName>
    <definedName name="solver_rel7" localSheetId="18" hidden="1">1</definedName>
    <definedName name="solver_rhs1" localSheetId="18" hidden="1">Optimization!$E$9</definedName>
    <definedName name="solver_rhs2" localSheetId="18" hidden="1">Optimization!$E$10</definedName>
    <definedName name="solver_rhs3" localSheetId="18" hidden="1">Optimization!$E$11</definedName>
    <definedName name="solver_rhs4" localSheetId="18" hidden="1">Optimization!$E$12</definedName>
    <definedName name="solver_rhs5" localSheetId="18" hidden="1">Optimization!$E$13</definedName>
    <definedName name="solver_rhs6" localSheetId="18" hidden="1">integer</definedName>
    <definedName name="solver_rhs7" localSheetId="18" hidden="1">Optimization!$L$9:$L$11</definedName>
    <definedName name="solver_rlx" localSheetId="18" hidden="1">2</definedName>
    <definedName name="solver_rsd" localSheetId="18" hidden="1">0</definedName>
    <definedName name="solver_scl" localSheetId="18" hidden="1">2</definedName>
    <definedName name="solver_sho" localSheetId="18" hidden="1">2</definedName>
    <definedName name="solver_ssz" localSheetId="18" hidden="1">100</definedName>
    <definedName name="solver_tim" localSheetId="18" hidden="1">2147483647</definedName>
    <definedName name="solver_tol" localSheetId="18" hidden="1">0.01</definedName>
    <definedName name="solver_typ" localSheetId="18" hidden="1">1</definedName>
    <definedName name="solver_val" localSheetId="18" hidden="1">0</definedName>
    <definedName name="solver_ver" localSheetId="18" hidden="1">3</definedName>
    <definedName name="SoybeanFungicides" localSheetId="9">#REF!</definedName>
    <definedName name="SoybeanFungicides" localSheetId="8">#REF!</definedName>
    <definedName name="SoybeanFungicides">'Chemical List (Soys)'!$A$106:$D$129</definedName>
    <definedName name="SoybeanInsecticides" localSheetId="9">#REF!</definedName>
    <definedName name="SoybeanInsecticides" localSheetId="8">#REF!</definedName>
    <definedName name="SoybeanInsecticides">'Chemical List (Soys)'!$A$140:$D$218</definedName>
    <definedName name="SoybeanPostChemicals" localSheetId="9">#REF!</definedName>
    <definedName name="SoybeanPostChemicals" localSheetId="8">#REF!</definedName>
    <definedName name="SoybeanPostChemicals">'Chemical List (Soys)'!$A$61:$F$102</definedName>
    <definedName name="SoybeanPreChemicals" localSheetId="9">#REF!</definedName>
    <definedName name="SoybeanPreChemicals" localSheetId="8">#REF!</definedName>
    <definedName name="SoybeanPreChemicals">'Chemical List (Soys)'!$A$4:$F$58</definedName>
    <definedName name="WheatChemicals" localSheetId="9">#REF!</definedName>
    <definedName name="WheatChemicals" localSheetId="8">#REF!</definedName>
    <definedName name="WheatChemicals">'Chemical List (Wheat)'!$A$4:$F$35</definedName>
    <definedName name="WheatFungicides" localSheetId="9">#REF!</definedName>
    <definedName name="WheatFungicides" localSheetId="8">#REF!</definedName>
    <definedName name="WheatFungicides">'Chemical List (Wheat)'!$A$40:$D$63</definedName>
    <definedName name="WheatInsecticides" localSheetId="9">#REF!</definedName>
    <definedName name="WheatInsecticides" localSheetId="8">#REF!</definedName>
    <definedName name="WheatInsecticides">'Chemical List (Wheat)'!$A$74:$D$109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34" l="1"/>
  <c r="C40" i="33"/>
  <c r="C40" i="32"/>
  <c r="F3" i="34" l="1"/>
  <c r="C84" i="34"/>
  <c r="B90" i="34"/>
  <c r="D90" i="34" s="1"/>
  <c r="B89" i="34"/>
  <c r="C89" i="34" s="1"/>
  <c r="B88" i="34"/>
  <c r="C88" i="34" s="1"/>
  <c r="B87" i="34"/>
  <c r="C87" i="34" s="1"/>
  <c r="B86" i="34"/>
  <c r="C86" i="34" s="1"/>
  <c r="B85" i="34"/>
  <c r="C85" i="34" s="1"/>
  <c r="B84" i="34"/>
  <c r="D84" i="34" s="1"/>
  <c r="B83" i="34"/>
  <c r="D83" i="34" s="1"/>
  <c r="B82" i="34"/>
  <c r="D82" i="34" s="1"/>
  <c r="B81" i="34"/>
  <c r="D81" i="34" s="1"/>
  <c r="B80" i="34"/>
  <c r="D80" i="34" s="1"/>
  <c r="B79" i="34"/>
  <c r="D79" i="34" s="1"/>
  <c r="B78" i="34"/>
  <c r="D78" i="34" s="1"/>
  <c r="B77" i="34"/>
  <c r="D77" i="34" s="1"/>
  <c r="B76" i="34"/>
  <c r="D76" i="34" s="1"/>
  <c r="B75" i="34"/>
  <c r="C75" i="34" s="1"/>
  <c r="B74" i="34"/>
  <c r="C74" i="34" s="1"/>
  <c r="B73" i="34"/>
  <c r="C73" i="34" s="1"/>
  <c r="B72" i="34"/>
  <c r="C72" i="34" s="1"/>
  <c r="B71" i="34"/>
  <c r="C71" i="34" s="1"/>
  <c r="B68" i="34"/>
  <c r="C68" i="34" s="1"/>
  <c r="B67" i="34"/>
  <c r="D67" i="34" s="1"/>
  <c r="B66" i="34"/>
  <c r="D66" i="34" s="1"/>
  <c r="B65" i="34"/>
  <c r="D65" i="34" s="1"/>
  <c r="B64" i="34"/>
  <c r="D64" i="34" s="1"/>
  <c r="B61" i="34"/>
  <c r="D61" i="34" s="1"/>
  <c r="B60" i="34"/>
  <c r="C60" i="34" s="1"/>
  <c r="B59" i="34"/>
  <c r="C59" i="34" s="1"/>
  <c r="B58" i="34"/>
  <c r="C58" i="34" s="1"/>
  <c r="B57" i="34"/>
  <c r="D57" i="34" s="1"/>
  <c r="B54" i="34"/>
  <c r="C54" i="34" s="1"/>
  <c r="B53" i="34"/>
  <c r="C53" i="34" s="1"/>
  <c r="B52" i="34"/>
  <c r="D52" i="34" s="1"/>
  <c r="B51" i="34"/>
  <c r="D51" i="34" s="1"/>
  <c r="B50" i="34"/>
  <c r="D50" i="34" s="1"/>
  <c r="B47" i="34"/>
  <c r="C47" i="34" s="1"/>
  <c r="B46" i="34"/>
  <c r="D46" i="34" s="1"/>
  <c r="B45" i="34"/>
  <c r="C45" i="34" s="1"/>
  <c r="B44" i="34"/>
  <c r="D44" i="34" s="1"/>
  <c r="B43" i="34"/>
  <c r="D43" i="34" s="1"/>
  <c r="B40" i="34"/>
  <c r="C37" i="34"/>
  <c r="C32" i="34"/>
  <c r="C31" i="34"/>
  <c r="C30" i="34"/>
  <c r="C29" i="34"/>
  <c r="B37" i="34"/>
  <c r="D37" i="34" s="1"/>
  <c r="B36" i="34"/>
  <c r="C36" i="34" s="1"/>
  <c r="B35" i="34"/>
  <c r="C35" i="34" s="1"/>
  <c r="B34" i="34"/>
  <c r="D34" i="34" s="1"/>
  <c r="B33" i="34"/>
  <c r="D33" i="34" s="1"/>
  <c r="B32" i="34"/>
  <c r="D32" i="34" s="1"/>
  <c r="B31" i="34"/>
  <c r="D31" i="34" s="1"/>
  <c r="B30" i="34"/>
  <c r="B29" i="34"/>
  <c r="B28" i="34"/>
  <c r="C28" i="34" s="1"/>
  <c r="B27" i="34"/>
  <c r="C27" i="34" s="1"/>
  <c r="B26" i="34"/>
  <c r="D26" i="34" s="1"/>
  <c r="C21" i="34"/>
  <c r="C20" i="34"/>
  <c r="C16" i="34"/>
  <c r="C13" i="34"/>
  <c r="C12" i="34"/>
  <c r="C8" i="34"/>
  <c r="C5" i="34"/>
  <c r="C4" i="34"/>
  <c r="B21" i="34"/>
  <c r="B20" i="34"/>
  <c r="B19" i="34"/>
  <c r="D19" i="34" s="1"/>
  <c r="B18" i="34"/>
  <c r="D18" i="34" s="1"/>
  <c r="B17" i="34"/>
  <c r="C17" i="34" s="1"/>
  <c r="B16" i="34"/>
  <c r="B15" i="34"/>
  <c r="D15" i="34" s="1"/>
  <c r="B14" i="34"/>
  <c r="C14" i="34" s="1"/>
  <c r="B13" i="34"/>
  <c r="B12" i="34"/>
  <c r="B11" i="34"/>
  <c r="C11" i="34" s="1"/>
  <c r="B10" i="34"/>
  <c r="D10" i="34" s="1"/>
  <c r="B9" i="34"/>
  <c r="C9" i="34" s="1"/>
  <c r="B8" i="34"/>
  <c r="B7" i="34"/>
  <c r="C7" i="34" s="1"/>
  <c r="B6" i="34"/>
  <c r="C6" i="34" s="1"/>
  <c r="B5" i="34"/>
  <c r="D5" i="34" s="1"/>
  <c r="B4" i="34"/>
  <c r="D88" i="34"/>
  <c r="D87" i="34"/>
  <c r="D86" i="34"/>
  <c r="D85" i="34"/>
  <c r="D75" i="34"/>
  <c r="D74" i="34"/>
  <c r="D71" i="34"/>
  <c r="D68" i="34"/>
  <c r="D60" i="34"/>
  <c r="D59" i="34"/>
  <c r="D58" i="34"/>
  <c r="J49" i="34"/>
  <c r="J48" i="34"/>
  <c r="J47" i="34"/>
  <c r="D47" i="34"/>
  <c r="J46" i="34"/>
  <c r="J45" i="34"/>
  <c r="D45" i="34"/>
  <c r="J44" i="34"/>
  <c r="J43" i="34"/>
  <c r="D40" i="34"/>
  <c r="N37" i="34"/>
  <c r="N36" i="34"/>
  <c r="N35" i="34"/>
  <c r="N30" i="34"/>
  <c r="J30" i="34"/>
  <c r="D30" i="34"/>
  <c r="N29" i="34"/>
  <c r="J29" i="34"/>
  <c r="D29" i="34"/>
  <c r="N28" i="34"/>
  <c r="J28" i="34"/>
  <c r="D27" i="34"/>
  <c r="J21" i="34"/>
  <c r="D21" i="34"/>
  <c r="J20" i="34"/>
  <c r="D20" i="34"/>
  <c r="J19" i="34"/>
  <c r="N18" i="34"/>
  <c r="J18" i="34"/>
  <c r="N17" i="34"/>
  <c r="J17" i="34"/>
  <c r="D17" i="34"/>
  <c r="N16" i="34"/>
  <c r="J16" i="34"/>
  <c r="D16" i="34"/>
  <c r="N15" i="34"/>
  <c r="J15" i="34"/>
  <c r="N14" i="34"/>
  <c r="J14" i="34"/>
  <c r="D14" i="34"/>
  <c r="N13" i="34"/>
  <c r="J13" i="34"/>
  <c r="D13" i="34"/>
  <c r="N12" i="34"/>
  <c r="J12" i="34"/>
  <c r="D12" i="34"/>
  <c r="N11" i="34"/>
  <c r="D11" i="34"/>
  <c r="N10" i="34"/>
  <c r="D9" i="34"/>
  <c r="D8" i="34"/>
  <c r="D6" i="34"/>
  <c r="F3" i="33"/>
  <c r="C76" i="33"/>
  <c r="B90" i="33"/>
  <c r="D90" i="33" s="1"/>
  <c r="B89" i="33"/>
  <c r="D89" i="33" s="1"/>
  <c r="B88" i="33"/>
  <c r="C88" i="33" s="1"/>
  <c r="B87" i="33"/>
  <c r="C87" i="33" s="1"/>
  <c r="B86" i="33"/>
  <c r="D86" i="33" s="1"/>
  <c r="B85" i="33"/>
  <c r="C85" i="33" s="1"/>
  <c r="B84" i="33"/>
  <c r="D84" i="33" s="1"/>
  <c r="B83" i="33"/>
  <c r="D83" i="33" s="1"/>
  <c r="B82" i="33"/>
  <c r="D82" i="33" s="1"/>
  <c r="B81" i="33"/>
  <c r="D81" i="33" s="1"/>
  <c r="B80" i="33"/>
  <c r="C80" i="33" s="1"/>
  <c r="B79" i="33"/>
  <c r="D79" i="33" s="1"/>
  <c r="B78" i="33"/>
  <c r="D78" i="33" s="1"/>
  <c r="B77" i="33"/>
  <c r="C77" i="33" s="1"/>
  <c r="B76" i="33"/>
  <c r="D76" i="33" s="1"/>
  <c r="B75" i="33"/>
  <c r="C75" i="33" s="1"/>
  <c r="B74" i="33"/>
  <c r="D74" i="33" s="1"/>
  <c r="B73" i="33"/>
  <c r="D73" i="33" s="1"/>
  <c r="B72" i="33"/>
  <c r="D72" i="33" s="1"/>
  <c r="B71" i="33"/>
  <c r="D71" i="33" s="1"/>
  <c r="B68" i="33"/>
  <c r="C68" i="33" s="1"/>
  <c r="B67" i="33"/>
  <c r="C67" i="33" s="1"/>
  <c r="B66" i="33"/>
  <c r="D66" i="33" s="1"/>
  <c r="B65" i="33"/>
  <c r="C65" i="33" s="1"/>
  <c r="B64" i="33"/>
  <c r="C64" i="33" s="1"/>
  <c r="B61" i="33"/>
  <c r="C61" i="33" s="1"/>
  <c r="B60" i="33"/>
  <c r="C60" i="33" s="1"/>
  <c r="B59" i="33"/>
  <c r="D59" i="33" s="1"/>
  <c r="B58" i="33"/>
  <c r="D58" i="33" s="1"/>
  <c r="B57" i="33"/>
  <c r="C57" i="33" s="1"/>
  <c r="B54" i="33"/>
  <c r="D54" i="33" s="1"/>
  <c r="B53" i="33"/>
  <c r="C53" i="33" s="1"/>
  <c r="B52" i="33"/>
  <c r="C52" i="33" s="1"/>
  <c r="B51" i="33"/>
  <c r="C51" i="33" s="1"/>
  <c r="B50" i="33"/>
  <c r="C50" i="33" s="1"/>
  <c r="B47" i="33"/>
  <c r="C47" i="33" s="1"/>
  <c r="B46" i="33"/>
  <c r="D46" i="33" s="1"/>
  <c r="B45" i="33"/>
  <c r="D45" i="33" s="1"/>
  <c r="B44" i="33"/>
  <c r="D44" i="33" s="1"/>
  <c r="B43" i="33"/>
  <c r="C43" i="33" s="1"/>
  <c r="B40" i="33"/>
  <c r="C33" i="33"/>
  <c r="C32" i="33"/>
  <c r="C30" i="33"/>
  <c r="C21" i="33"/>
  <c r="C20" i="33"/>
  <c r="C18" i="33"/>
  <c r="C13" i="33"/>
  <c r="C12" i="33"/>
  <c r="C10" i="33"/>
  <c r="C5" i="33"/>
  <c r="C4" i="33"/>
  <c r="B37" i="33"/>
  <c r="C37" i="33" s="1"/>
  <c r="B36" i="33"/>
  <c r="D36" i="33" s="1"/>
  <c r="B35" i="33"/>
  <c r="D35" i="33" s="1"/>
  <c r="B34" i="33"/>
  <c r="C34" i="33" s="1"/>
  <c r="B33" i="33"/>
  <c r="D33" i="33" s="1"/>
  <c r="B32" i="33"/>
  <c r="D32" i="33" s="1"/>
  <c r="B31" i="33"/>
  <c r="D31" i="33" s="1"/>
  <c r="B30" i="33"/>
  <c r="D30" i="33" s="1"/>
  <c r="B29" i="33"/>
  <c r="C29" i="33" s="1"/>
  <c r="B28" i="33"/>
  <c r="D28" i="33" s="1"/>
  <c r="B27" i="33"/>
  <c r="C27" i="33" s="1"/>
  <c r="B26" i="33"/>
  <c r="D26" i="33" s="1"/>
  <c r="B21" i="33"/>
  <c r="B20" i="33"/>
  <c r="B19" i="33"/>
  <c r="C19" i="33" s="1"/>
  <c r="B18" i="33"/>
  <c r="D18" i="33" s="1"/>
  <c r="B17" i="33"/>
  <c r="C17" i="33" s="1"/>
  <c r="B16" i="33"/>
  <c r="D16" i="33" s="1"/>
  <c r="B15" i="33"/>
  <c r="D15" i="33" s="1"/>
  <c r="B14" i="33"/>
  <c r="C14" i="33" s="1"/>
  <c r="B13" i="33"/>
  <c r="B12" i="33"/>
  <c r="B11" i="33"/>
  <c r="C11" i="33" s="1"/>
  <c r="B10" i="33"/>
  <c r="B9" i="33"/>
  <c r="C9" i="33" s="1"/>
  <c r="B8" i="33"/>
  <c r="D8" i="33" s="1"/>
  <c r="B7" i="33"/>
  <c r="D7" i="33" s="1"/>
  <c r="B6" i="33"/>
  <c r="D6" i="33" s="1"/>
  <c r="B5" i="33"/>
  <c r="D5" i="33" s="1"/>
  <c r="B4" i="33"/>
  <c r="D4" i="33" s="1"/>
  <c r="D88" i="33"/>
  <c r="D87" i="33"/>
  <c r="D75" i="33"/>
  <c r="D68" i="33"/>
  <c r="D65" i="33"/>
  <c r="D64" i="33"/>
  <c r="D60" i="33"/>
  <c r="D52" i="33"/>
  <c r="D51" i="33"/>
  <c r="D50" i="33"/>
  <c r="J49" i="33"/>
  <c r="J48" i="33"/>
  <c r="J47" i="33"/>
  <c r="J46" i="33"/>
  <c r="J45" i="33"/>
  <c r="J44" i="33"/>
  <c r="J43" i="33"/>
  <c r="N37" i="33"/>
  <c r="D37" i="33"/>
  <c r="N36" i="33"/>
  <c r="N35" i="33"/>
  <c r="N30" i="33"/>
  <c r="J30" i="33"/>
  <c r="N29" i="33"/>
  <c r="J29" i="33"/>
  <c r="D29" i="33"/>
  <c r="N28" i="33"/>
  <c r="J28" i="33"/>
  <c r="J21" i="33"/>
  <c r="D21" i="33"/>
  <c r="J20" i="33"/>
  <c r="D20" i="33"/>
  <c r="J19" i="33"/>
  <c r="N18" i="33"/>
  <c r="J18" i="33"/>
  <c r="N17" i="33"/>
  <c r="J17" i="33"/>
  <c r="D17" i="33"/>
  <c r="N16" i="33"/>
  <c r="J16" i="33"/>
  <c r="N15" i="33"/>
  <c r="J15" i="33"/>
  <c r="N14" i="33"/>
  <c r="J14" i="33"/>
  <c r="D14" i="33"/>
  <c r="N13" i="33"/>
  <c r="J13" i="33"/>
  <c r="D13" i="33"/>
  <c r="N12" i="33"/>
  <c r="J12" i="33"/>
  <c r="N11" i="33"/>
  <c r="N10" i="33"/>
  <c r="D10" i="33"/>
  <c r="D9" i="33"/>
  <c r="B87" i="32"/>
  <c r="D87" i="32"/>
  <c r="B88" i="32"/>
  <c r="D88" i="32" s="1"/>
  <c r="B89" i="32"/>
  <c r="D89" i="32"/>
  <c r="B90" i="32"/>
  <c r="D90" i="32" s="1"/>
  <c r="B86" i="32"/>
  <c r="B82" i="32"/>
  <c r="D82" i="32" s="1"/>
  <c r="B83" i="32"/>
  <c r="D83" i="32" s="1"/>
  <c r="B84" i="32"/>
  <c r="D84" i="32"/>
  <c r="B85" i="32"/>
  <c r="D85" i="32" s="1"/>
  <c r="B81" i="32"/>
  <c r="D81" i="32" s="1"/>
  <c r="AA77" i="8"/>
  <c r="Y77" i="8"/>
  <c r="AB77" i="8" s="1"/>
  <c r="W77" i="8"/>
  <c r="AA76" i="8"/>
  <c r="Y76" i="8"/>
  <c r="AB76" i="8" s="1"/>
  <c r="W76" i="8"/>
  <c r="AA75" i="8"/>
  <c r="Y75" i="8"/>
  <c r="AB75" i="8" s="1"/>
  <c r="W75" i="8"/>
  <c r="AA74" i="8"/>
  <c r="Y74" i="8"/>
  <c r="AB74" i="8" s="1"/>
  <c r="W74" i="8"/>
  <c r="AA73" i="8"/>
  <c r="Y73" i="8"/>
  <c r="AB73" i="8" s="1"/>
  <c r="W73" i="8"/>
  <c r="Q77" i="8"/>
  <c r="O77" i="8"/>
  <c r="R77" i="8" s="1"/>
  <c r="M77" i="8"/>
  <c r="Q76" i="8"/>
  <c r="O76" i="8"/>
  <c r="R76" i="8" s="1"/>
  <c r="M76" i="8"/>
  <c r="Q75" i="8"/>
  <c r="O75" i="8"/>
  <c r="R75" i="8" s="1"/>
  <c r="M75" i="8"/>
  <c r="Q74" i="8"/>
  <c r="O74" i="8"/>
  <c r="R74" i="8" s="1"/>
  <c r="M74" i="8"/>
  <c r="Q73" i="8"/>
  <c r="O73" i="8"/>
  <c r="R73" i="8" s="1"/>
  <c r="M73" i="8"/>
  <c r="G77" i="8"/>
  <c r="E77" i="8"/>
  <c r="H77" i="8" s="1"/>
  <c r="C77" i="8"/>
  <c r="G76" i="8"/>
  <c r="E76" i="8"/>
  <c r="H76" i="8" s="1"/>
  <c r="C76" i="8"/>
  <c r="G75" i="8"/>
  <c r="E75" i="8"/>
  <c r="H75" i="8" s="1"/>
  <c r="C75" i="8"/>
  <c r="G74" i="8"/>
  <c r="E74" i="8"/>
  <c r="H74" i="8" s="1"/>
  <c r="C74" i="8"/>
  <c r="G73" i="8"/>
  <c r="E73" i="8"/>
  <c r="H73" i="8" s="1"/>
  <c r="C73" i="8"/>
  <c r="AA59" i="8"/>
  <c r="Y59" i="8"/>
  <c r="AB59" i="8" s="1"/>
  <c r="W59" i="8"/>
  <c r="AA58" i="8"/>
  <c r="Y58" i="8"/>
  <c r="AB58" i="8" s="1"/>
  <c r="W58" i="8"/>
  <c r="AA57" i="8"/>
  <c r="Y57" i="8"/>
  <c r="AB57" i="8" s="1"/>
  <c r="W57" i="8"/>
  <c r="AA56" i="8"/>
  <c r="Y56" i="8"/>
  <c r="AB56" i="8" s="1"/>
  <c r="W56" i="8"/>
  <c r="AA55" i="8"/>
  <c r="Y55" i="8"/>
  <c r="AB55" i="8" s="1"/>
  <c r="W55" i="8"/>
  <c r="Q59" i="8"/>
  <c r="O59" i="8"/>
  <c r="R59" i="8" s="1"/>
  <c r="M59" i="8"/>
  <c r="Q58" i="8"/>
  <c r="O58" i="8"/>
  <c r="R58" i="8" s="1"/>
  <c r="M58" i="8"/>
  <c r="Q57" i="8"/>
  <c r="O57" i="8"/>
  <c r="R57" i="8" s="1"/>
  <c r="M57" i="8"/>
  <c r="Q56" i="8"/>
  <c r="O56" i="8"/>
  <c r="R56" i="8" s="1"/>
  <c r="M56" i="8"/>
  <c r="Q55" i="8"/>
  <c r="O55" i="8"/>
  <c r="R55" i="8" s="1"/>
  <c r="M55" i="8"/>
  <c r="G55" i="8"/>
  <c r="G59" i="8"/>
  <c r="E59" i="8"/>
  <c r="H59" i="8" s="1"/>
  <c r="C59" i="8"/>
  <c r="G58" i="8"/>
  <c r="E58" i="8"/>
  <c r="H58" i="8" s="1"/>
  <c r="C58" i="8"/>
  <c r="G57" i="8"/>
  <c r="E57" i="8"/>
  <c r="H57" i="8" s="1"/>
  <c r="C57" i="8"/>
  <c r="G56" i="8"/>
  <c r="E56" i="8"/>
  <c r="H56" i="8" s="1"/>
  <c r="C56" i="8"/>
  <c r="E55" i="8"/>
  <c r="H55" i="8" s="1"/>
  <c r="C55" i="8"/>
  <c r="G35" i="8"/>
  <c r="AA29" i="8"/>
  <c r="Y29" i="8"/>
  <c r="AB29" i="8" s="1"/>
  <c r="W29" i="8"/>
  <c r="V29" i="8"/>
  <c r="Q29" i="8"/>
  <c r="O29" i="8"/>
  <c r="R29" i="8" s="1"/>
  <c r="M29" i="8"/>
  <c r="L29" i="8"/>
  <c r="G29" i="8"/>
  <c r="E29" i="8"/>
  <c r="H29" i="8" s="1"/>
  <c r="C29" i="8"/>
  <c r="B29" i="8"/>
  <c r="AA9" i="8"/>
  <c r="Y9" i="8"/>
  <c r="AB9" i="8" s="1"/>
  <c r="W9" i="8"/>
  <c r="V9" i="8"/>
  <c r="Q9" i="8"/>
  <c r="O9" i="8"/>
  <c r="R9" i="8" s="1"/>
  <c r="M9" i="8"/>
  <c r="L9" i="8"/>
  <c r="G9" i="8"/>
  <c r="E9" i="8"/>
  <c r="H9" i="8" s="1"/>
  <c r="C9" i="8"/>
  <c r="B9" i="8"/>
  <c r="N10" i="32"/>
  <c r="N11" i="32"/>
  <c r="N12" i="32"/>
  <c r="N13" i="32"/>
  <c r="N14" i="32"/>
  <c r="N15" i="32"/>
  <c r="N16" i="32"/>
  <c r="N17" i="32"/>
  <c r="N18" i="32"/>
  <c r="B4" i="32"/>
  <c r="B5" i="32"/>
  <c r="B6" i="32"/>
  <c r="B7" i="32"/>
  <c r="B8" i="32"/>
  <c r="C8" i="32" s="1"/>
  <c r="B9" i="32"/>
  <c r="B10" i="32"/>
  <c r="D10" i="32" s="1"/>
  <c r="B11" i="32"/>
  <c r="D11" i="32" s="1"/>
  <c r="B12" i="32"/>
  <c r="D12" i="32" s="1"/>
  <c r="B13" i="32"/>
  <c r="D13" i="32" s="1"/>
  <c r="B14" i="32"/>
  <c r="D14" i="32" s="1"/>
  <c r="B15" i="32"/>
  <c r="D15" i="32"/>
  <c r="B16" i="32"/>
  <c r="B17" i="32"/>
  <c r="D17" i="32" s="1"/>
  <c r="B18" i="32"/>
  <c r="C18" i="32" s="1"/>
  <c r="B19" i="32"/>
  <c r="C19" i="32" s="1"/>
  <c r="B20" i="32"/>
  <c r="D20" i="32" s="1"/>
  <c r="B21" i="32"/>
  <c r="J13" i="32"/>
  <c r="J43" i="32"/>
  <c r="J44" i="32"/>
  <c r="J45" i="32"/>
  <c r="J46" i="32"/>
  <c r="J47" i="32"/>
  <c r="J48" i="32"/>
  <c r="J49" i="32"/>
  <c r="B77" i="32"/>
  <c r="D77" i="32" s="1"/>
  <c r="B78" i="32"/>
  <c r="B79" i="32"/>
  <c r="D79" i="32" s="1"/>
  <c r="B80" i="32"/>
  <c r="B76" i="32"/>
  <c r="D76" i="32" s="1"/>
  <c r="B72" i="32"/>
  <c r="D72" i="32" s="1"/>
  <c r="B73" i="32"/>
  <c r="D73" i="32" s="1"/>
  <c r="B74" i="32"/>
  <c r="D74" i="32" s="1"/>
  <c r="B75" i="32"/>
  <c r="D75" i="32" s="1"/>
  <c r="B71" i="32"/>
  <c r="D71" i="32" s="1"/>
  <c r="N35" i="32"/>
  <c r="N36" i="32"/>
  <c r="N37" i="32"/>
  <c r="B65" i="32"/>
  <c r="D65" i="32" s="1"/>
  <c r="B66" i="32"/>
  <c r="B67" i="32"/>
  <c r="D67" i="32" s="1"/>
  <c r="B68" i="32"/>
  <c r="D68" i="32" s="1"/>
  <c r="B64" i="32"/>
  <c r="N28" i="32"/>
  <c r="N29" i="32"/>
  <c r="N30" i="32"/>
  <c r="B58" i="32"/>
  <c r="B59" i="32"/>
  <c r="B60" i="32"/>
  <c r="D60" i="32"/>
  <c r="B61" i="32"/>
  <c r="B57" i="32"/>
  <c r="J28" i="32"/>
  <c r="J29" i="32"/>
  <c r="J30" i="32"/>
  <c r="B44" i="32"/>
  <c r="B45" i="32"/>
  <c r="B46" i="32"/>
  <c r="D46" i="32" s="1"/>
  <c r="B47" i="32"/>
  <c r="D47" i="32" s="1"/>
  <c r="G6" i="8"/>
  <c r="B51" i="32"/>
  <c r="B52" i="32"/>
  <c r="B53" i="32"/>
  <c r="B54" i="32"/>
  <c r="D54" i="32" s="1"/>
  <c r="B50" i="32"/>
  <c r="D50" i="32" s="1"/>
  <c r="B43" i="32"/>
  <c r="D43" i="32" s="1"/>
  <c r="B40" i="32"/>
  <c r="D40" i="32" s="1"/>
  <c r="J14" i="32"/>
  <c r="J15" i="32"/>
  <c r="J16" i="32"/>
  <c r="J17" i="32"/>
  <c r="J18" i="32"/>
  <c r="J19" i="32"/>
  <c r="J20" i="32"/>
  <c r="J21" i="32"/>
  <c r="B35" i="32"/>
  <c r="B36" i="32"/>
  <c r="D36" i="32" s="1"/>
  <c r="B37" i="32"/>
  <c r="D37" i="32" s="1"/>
  <c r="B34" i="32"/>
  <c r="D34" i="32" s="1"/>
  <c r="B31" i="32"/>
  <c r="B32" i="32"/>
  <c r="D32" i="32" s="1"/>
  <c r="B33" i="32"/>
  <c r="D33" i="32" s="1"/>
  <c r="B30" i="32"/>
  <c r="D30" i="32" s="1"/>
  <c r="B27" i="32"/>
  <c r="D27" i="32" s="1"/>
  <c r="B28" i="32"/>
  <c r="D28" i="32" s="1"/>
  <c r="B29" i="32"/>
  <c r="D29" i="32" s="1"/>
  <c r="F3" i="32"/>
  <c r="B26" i="32"/>
  <c r="D26" i="32" s="1"/>
  <c r="C6" i="9"/>
  <c r="C66" i="33" l="1"/>
  <c r="C44" i="34"/>
  <c r="C76" i="34"/>
  <c r="D61" i="33"/>
  <c r="C6" i="33"/>
  <c r="C26" i="33"/>
  <c r="C45" i="33"/>
  <c r="D7" i="34"/>
  <c r="D28" i="34"/>
  <c r="D53" i="34"/>
  <c r="D73" i="34"/>
  <c r="D89" i="34"/>
  <c r="C33" i="34"/>
  <c r="C57" i="34"/>
  <c r="C67" i="34"/>
  <c r="C77" i="34"/>
  <c r="H40" i="34" s="1" a="1"/>
  <c r="C54" i="33"/>
  <c r="C66" i="34"/>
  <c r="D19" i="32"/>
  <c r="C7" i="33"/>
  <c r="C15" i="33"/>
  <c r="C35" i="33"/>
  <c r="C46" i="33"/>
  <c r="C58" i="33"/>
  <c r="L26" i="33" s="1" a="1"/>
  <c r="C78" i="33"/>
  <c r="C86" i="33"/>
  <c r="D35" i="34"/>
  <c r="D54" i="34"/>
  <c r="C10" i="34"/>
  <c r="C18" i="34"/>
  <c r="C26" i="34"/>
  <c r="C34" i="34"/>
  <c r="L7" i="34" s="1" a="1"/>
  <c r="C46" i="34"/>
  <c r="C78" i="34"/>
  <c r="D18" i="32"/>
  <c r="C8" i="33"/>
  <c r="C16" i="33"/>
  <c r="C28" i="33"/>
  <c r="C36" i="33"/>
  <c r="C59" i="33"/>
  <c r="C71" i="33"/>
  <c r="C79" i="33"/>
  <c r="C19" i="34"/>
  <c r="C79" i="34"/>
  <c r="C84" i="33"/>
  <c r="C52" i="32"/>
  <c r="C72" i="33"/>
  <c r="D36" i="34"/>
  <c r="C50" i="34"/>
  <c r="C80" i="34"/>
  <c r="C73" i="33"/>
  <c r="C81" i="33"/>
  <c r="C89" i="33"/>
  <c r="C51" i="34"/>
  <c r="C61" i="34"/>
  <c r="C81" i="34"/>
  <c r="C15" i="32"/>
  <c r="C31" i="33"/>
  <c r="C74" i="33"/>
  <c r="C82" i="33"/>
  <c r="C90" i="33"/>
  <c r="C52" i="34"/>
  <c r="C64" i="34"/>
  <c r="C82" i="34"/>
  <c r="C90" i="34"/>
  <c r="C44" i="33"/>
  <c r="C83" i="33"/>
  <c r="C15" i="34"/>
  <c r="C43" i="34"/>
  <c r="C65" i="34"/>
  <c r="C83" i="34"/>
  <c r="C12" i="32"/>
  <c r="C11" i="32"/>
  <c r="C5" i="32"/>
  <c r="C81" i="32"/>
  <c r="C89" i="32"/>
  <c r="C10" i="32"/>
  <c r="C85" i="32"/>
  <c r="C82" i="32"/>
  <c r="C88" i="32"/>
  <c r="C17" i="32"/>
  <c r="C14" i="32"/>
  <c r="C84" i="32"/>
  <c r="C86" i="32"/>
  <c r="C16" i="32"/>
  <c r="C90" i="32"/>
  <c r="C87" i="32"/>
  <c r="C7" i="32"/>
  <c r="C20" i="32"/>
  <c r="C83" i="32"/>
  <c r="D72" i="34"/>
  <c r="L26" i="34" a="1"/>
  <c r="H33" i="34" a="1"/>
  <c r="H33" i="34" s="1"/>
  <c r="J33" i="34" s="1"/>
  <c r="H26" i="34" a="1"/>
  <c r="H4" i="34" a="1"/>
  <c r="D4" i="34"/>
  <c r="L33" i="34" a="1"/>
  <c r="L4" i="34" a="1"/>
  <c r="L4" i="34" s="1"/>
  <c r="N4" i="34" s="1"/>
  <c r="L4" i="33" a="1"/>
  <c r="L4" i="33" s="1"/>
  <c r="N4" i="33" s="1"/>
  <c r="D80" i="33"/>
  <c r="D53" i="33"/>
  <c r="D12" i="33"/>
  <c r="D27" i="33"/>
  <c r="D57" i="33"/>
  <c r="D67" i="33"/>
  <c r="D77" i="33"/>
  <c r="D85" i="33"/>
  <c r="D11" i="33"/>
  <c r="D19" i="33"/>
  <c r="D34" i="33"/>
  <c r="D40" i="33"/>
  <c r="D43" i="33"/>
  <c r="D47" i="33"/>
  <c r="H4" i="33" a="1"/>
  <c r="H40" i="33" a="1"/>
  <c r="H26" i="33" a="1"/>
  <c r="H33" i="33" a="1"/>
  <c r="H33" i="33" s="1"/>
  <c r="J33" i="33" s="1"/>
  <c r="L33" i="33" a="1"/>
  <c r="L7" i="33" a="1"/>
  <c r="D86" i="32"/>
  <c r="C21" i="32"/>
  <c r="C13" i="32"/>
  <c r="C6" i="32"/>
  <c r="C9" i="32"/>
  <c r="C4" i="32"/>
  <c r="D4" i="32"/>
  <c r="D9" i="32"/>
  <c r="D8" i="32"/>
  <c r="D7" i="32"/>
  <c r="D6" i="32"/>
  <c r="D5" i="32"/>
  <c r="D16" i="32"/>
  <c r="D21" i="32"/>
  <c r="C51" i="32"/>
  <c r="D52" i="32"/>
  <c r="C37" i="32"/>
  <c r="C59" i="32"/>
  <c r="C67" i="32"/>
  <c r="C78" i="32"/>
  <c r="C66" i="32"/>
  <c r="C65" i="32"/>
  <c r="C58" i="32"/>
  <c r="C45" i="32"/>
  <c r="C53" i="32"/>
  <c r="C44" i="32"/>
  <c r="C75" i="32"/>
  <c r="C64" i="32"/>
  <c r="C74" i="32"/>
  <c r="C77" i="32"/>
  <c r="C43" i="32"/>
  <c r="D51" i="32"/>
  <c r="D57" i="32"/>
  <c r="D64" i="32"/>
  <c r="C71" i="32"/>
  <c r="C73" i="32"/>
  <c r="C47" i="32"/>
  <c r="C50" i="32"/>
  <c r="C61" i="32"/>
  <c r="C68" i="32"/>
  <c r="C72" i="32"/>
  <c r="C80" i="32"/>
  <c r="D80" i="32"/>
  <c r="C54" i="32"/>
  <c r="C79" i="32"/>
  <c r="C46" i="32"/>
  <c r="C60" i="32"/>
  <c r="C26" i="32"/>
  <c r="D53" i="32"/>
  <c r="D78" i="32"/>
  <c r="D45" i="32"/>
  <c r="D59" i="32"/>
  <c r="C76" i="32"/>
  <c r="D66" i="32"/>
  <c r="D61" i="32"/>
  <c r="D58" i="32"/>
  <c r="C57" i="32"/>
  <c r="D44" i="32"/>
  <c r="L4" i="32" a="1"/>
  <c r="L4" i="32" s="1"/>
  <c r="N4" i="32" s="1"/>
  <c r="C27" i="32"/>
  <c r="C29" i="32"/>
  <c r="C32" i="32"/>
  <c r="C33" i="32"/>
  <c r="C31" i="32"/>
  <c r="C36" i="32"/>
  <c r="C30" i="32"/>
  <c r="C35" i="32"/>
  <c r="C28" i="32"/>
  <c r="C34" i="32"/>
  <c r="D35" i="32"/>
  <c r="D31" i="32"/>
  <c r="G7" i="2"/>
  <c r="I37" i="9"/>
  <c r="AA68" i="9"/>
  <c r="AA67" i="9"/>
  <c r="O68" i="9"/>
  <c r="O67" i="9"/>
  <c r="C68" i="9"/>
  <c r="C67" i="9"/>
  <c r="C46" i="9"/>
  <c r="C45" i="9"/>
  <c r="O46" i="9"/>
  <c r="O45" i="9"/>
  <c r="AA46" i="9"/>
  <c r="AA45" i="9"/>
  <c r="AA24" i="9"/>
  <c r="AA23" i="9"/>
  <c r="O24" i="9"/>
  <c r="O23" i="9"/>
  <c r="C24" i="9"/>
  <c r="C23" i="9"/>
  <c r="J41" i="34" l="1"/>
  <c r="H40" i="34"/>
  <c r="J40" i="34" s="1"/>
  <c r="J42" i="34"/>
  <c r="L33" i="34"/>
  <c r="N33" i="34" s="1"/>
  <c r="N34" i="34"/>
  <c r="N8" i="34"/>
  <c r="N9" i="34"/>
  <c r="L7" i="34"/>
  <c r="N7" i="34" s="1"/>
  <c r="J10" i="34"/>
  <c r="H4" i="34"/>
  <c r="J4" i="34" s="1"/>
  <c r="J7" i="34"/>
  <c r="J5" i="34"/>
  <c r="J8" i="34"/>
  <c r="J11" i="34"/>
  <c r="J6" i="34"/>
  <c r="J9" i="34"/>
  <c r="N27" i="34"/>
  <c r="L26" i="34"/>
  <c r="N26" i="34" s="1"/>
  <c r="H33" i="32" a="1"/>
  <c r="H33" i="32" s="1"/>
  <c r="J33" i="32" s="1"/>
  <c r="H40" i="32" a="1"/>
  <c r="H40" i="32" s="1"/>
  <c r="J40" i="32" s="1"/>
  <c r="J27" i="34"/>
  <c r="H26" i="34"/>
  <c r="J26" i="34" s="1"/>
  <c r="L7" i="32" a="1"/>
  <c r="L7" i="32" s="1"/>
  <c r="N7" i="32" s="1"/>
  <c r="L33" i="33"/>
  <c r="N33" i="33" s="1"/>
  <c r="N34" i="33"/>
  <c r="J27" i="33"/>
  <c r="H26" i="33"/>
  <c r="J26" i="33" s="1"/>
  <c r="J10" i="33"/>
  <c r="H4" i="33"/>
  <c r="J4" i="33" s="1"/>
  <c r="J11" i="33"/>
  <c r="J9" i="33"/>
  <c r="J6" i="33"/>
  <c r="J7" i="33"/>
  <c r="J5" i="33"/>
  <c r="J8" i="33"/>
  <c r="J41" i="33"/>
  <c r="J42" i="33"/>
  <c r="H40" i="33"/>
  <c r="J40" i="33" s="1"/>
  <c r="L26" i="33"/>
  <c r="N26" i="33" s="1"/>
  <c r="N27" i="33"/>
  <c r="H26" i="32" a="1"/>
  <c r="H26" i="32" s="1"/>
  <c r="J26" i="32" s="1"/>
  <c r="N9" i="33"/>
  <c r="L7" i="33"/>
  <c r="N7" i="33" s="1"/>
  <c r="N8" i="33"/>
  <c r="L26" i="32" a="1"/>
  <c r="L26" i="32" s="1"/>
  <c r="N26" i="32" s="1"/>
  <c r="L33" i="32" a="1"/>
  <c r="L33" i="32" s="1"/>
  <c r="N33" i="32" s="1"/>
  <c r="AD24" i="9"/>
  <c r="AB24" i="9"/>
  <c r="AE24" i="9" s="1"/>
  <c r="Z24" i="9"/>
  <c r="AD23" i="9"/>
  <c r="AB23" i="9"/>
  <c r="AE23" i="9" s="1"/>
  <c r="Z23" i="9"/>
  <c r="AD20" i="9"/>
  <c r="AB20" i="9"/>
  <c r="AA20" i="9"/>
  <c r="Z20" i="9"/>
  <c r="AD17" i="9"/>
  <c r="AB17" i="9"/>
  <c r="AA17" i="9"/>
  <c r="Z17" i="9"/>
  <c r="AD16" i="9"/>
  <c r="AB16" i="9"/>
  <c r="AA16" i="9"/>
  <c r="Z16" i="9"/>
  <c r="AD15" i="9"/>
  <c r="AB15" i="9"/>
  <c r="AA15" i="9"/>
  <c r="Z15" i="9"/>
  <c r="AD14" i="9"/>
  <c r="AB14" i="9"/>
  <c r="AA14" i="9"/>
  <c r="Z14" i="9"/>
  <c r="AG15" i="9"/>
  <c r="AI40" i="9"/>
  <c r="AH40" i="9"/>
  <c r="AG40" i="9"/>
  <c r="AI37" i="9"/>
  <c r="AH37" i="9"/>
  <c r="AG37" i="9"/>
  <c r="AI34" i="9"/>
  <c r="AH34" i="9"/>
  <c r="AG34" i="9"/>
  <c r="AI31" i="9"/>
  <c r="AH31" i="9"/>
  <c r="AG31" i="9"/>
  <c r="AI62" i="9"/>
  <c r="AH62" i="9"/>
  <c r="AG62" i="9"/>
  <c r="AI59" i="9"/>
  <c r="AH59" i="9"/>
  <c r="AG59" i="9"/>
  <c r="AI56" i="9"/>
  <c r="AH56" i="9"/>
  <c r="AG56" i="9"/>
  <c r="AI53" i="9"/>
  <c r="AH53" i="9"/>
  <c r="AG53" i="9"/>
  <c r="W62" i="9"/>
  <c r="V62" i="9"/>
  <c r="U62" i="9"/>
  <c r="W59" i="9"/>
  <c r="V59" i="9"/>
  <c r="U59" i="9"/>
  <c r="W56" i="9"/>
  <c r="V56" i="9"/>
  <c r="U56" i="9"/>
  <c r="W53" i="9"/>
  <c r="V53" i="9"/>
  <c r="U53" i="9"/>
  <c r="K62" i="9"/>
  <c r="J62" i="9"/>
  <c r="I62" i="9"/>
  <c r="K59" i="9"/>
  <c r="J59" i="9"/>
  <c r="I59" i="9"/>
  <c r="K56" i="9"/>
  <c r="J56" i="9"/>
  <c r="I56" i="9"/>
  <c r="K53" i="9"/>
  <c r="J53" i="9"/>
  <c r="W40" i="9"/>
  <c r="V40" i="9"/>
  <c r="U40" i="9"/>
  <c r="W37" i="9"/>
  <c r="V37" i="9"/>
  <c r="U37" i="9"/>
  <c r="W34" i="9"/>
  <c r="V34" i="9"/>
  <c r="U34" i="9"/>
  <c r="W31" i="9"/>
  <c r="V31" i="9"/>
  <c r="U31" i="9"/>
  <c r="F64" i="9"/>
  <c r="D64" i="9"/>
  <c r="C64" i="9"/>
  <c r="B64" i="9"/>
  <c r="F63" i="9"/>
  <c r="D63" i="9"/>
  <c r="C63" i="9"/>
  <c r="B63" i="9"/>
  <c r="F62" i="9"/>
  <c r="D62" i="9"/>
  <c r="C62" i="9"/>
  <c r="B62" i="9"/>
  <c r="F61" i="9"/>
  <c r="D61" i="9"/>
  <c r="C61" i="9"/>
  <c r="B61" i="9"/>
  <c r="R64" i="9"/>
  <c r="P64" i="9"/>
  <c r="O64" i="9"/>
  <c r="N64" i="9"/>
  <c r="R63" i="9"/>
  <c r="P63" i="9"/>
  <c r="O63" i="9"/>
  <c r="N63" i="9"/>
  <c r="R62" i="9"/>
  <c r="P62" i="9"/>
  <c r="O62" i="9"/>
  <c r="N62" i="9"/>
  <c r="R61" i="9"/>
  <c r="P61" i="9"/>
  <c r="O61" i="9"/>
  <c r="N61" i="9"/>
  <c r="AD64" i="9"/>
  <c r="AB64" i="9"/>
  <c r="AA64" i="9"/>
  <c r="Z64" i="9"/>
  <c r="AD63" i="9"/>
  <c r="AB63" i="9"/>
  <c r="AA63" i="9"/>
  <c r="Z63" i="9"/>
  <c r="AD62" i="9"/>
  <c r="AB62" i="9"/>
  <c r="AA62" i="9"/>
  <c r="Z62" i="9"/>
  <c r="AD61" i="9"/>
  <c r="AB61" i="9"/>
  <c r="AA61" i="9"/>
  <c r="Z61" i="9"/>
  <c r="AD42" i="9"/>
  <c r="AB42" i="9"/>
  <c r="AA42" i="9"/>
  <c r="Z42" i="9"/>
  <c r="AD41" i="9"/>
  <c r="AB41" i="9"/>
  <c r="AA41" i="9"/>
  <c r="Z41" i="9"/>
  <c r="AD40" i="9"/>
  <c r="AB40" i="9"/>
  <c r="AA40" i="9"/>
  <c r="Z40" i="9"/>
  <c r="AD39" i="9"/>
  <c r="AB39" i="9"/>
  <c r="AA39" i="9"/>
  <c r="Z39" i="9"/>
  <c r="R42" i="9"/>
  <c r="P42" i="9"/>
  <c r="O42" i="9"/>
  <c r="N42" i="9"/>
  <c r="R41" i="9"/>
  <c r="P41" i="9"/>
  <c r="O41" i="9"/>
  <c r="N41" i="9"/>
  <c r="R40" i="9"/>
  <c r="P40" i="9"/>
  <c r="O40" i="9"/>
  <c r="N40" i="9"/>
  <c r="R39" i="9"/>
  <c r="P39" i="9"/>
  <c r="O39" i="9"/>
  <c r="N39" i="9"/>
  <c r="F58" i="9"/>
  <c r="D58" i="9"/>
  <c r="C58" i="9"/>
  <c r="B58" i="9"/>
  <c r="F57" i="9"/>
  <c r="D57" i="9"/>
  <c r="C57" i="9"/>
  <c r="B57" i="9"/>
  <c r="F56" i="9"/>
  <c r="D56" i="9"/>
  <c r="C56" i="9"/>
  <c r="B56" i="9"/>
  <c r="F55" i="9"/>
  <c r="D55" i="9"/>
  <c r="C55" i="9"/>
  <c r="B55" i="9"/>
  <c r="F54" i="9"/>
  <c r="D54" i="9"/>
  <c r="C54" i="9"/>
  <c r="B54" i="9"/>
  <c r="F53" i="9"/>
  <c r="D53" i="9"/>
  <c r="C53" i="9"/>
  <c r="B53" i="9"/>
  <c r="R58" i="9"/>
  <c r="P58" i="9"/>
  <c r="O58" i="9"/>
  <c r="N58" i="9"/>
  <c r="R57" i="9"/>
  <c r="P57" i="9"/>
  <c r="O57" i="9"/>
  <c r="N57" i="9"/>
  <c r="R56" i="9"/>
  <c r="P56" i="9"/>
  <c r="O56" i="9"/>
  <c r="N56" i="9"/>
  <c r="R55" i="9"/>
  <c r="P55" i="9"/>
  <c r="O55" i="9"/>
  <c r="N55" i="9"/>
  <c r="R54" i="9"/>
  <c r="P54" i="9"/>
  <c r="O54" i="9"/>
  <c r="N54" i="9"/>
  <c r="R53" i="9"/>
  <c r="P53" i="9"/>
  <c r="O53" i="9"/>
  <c r="N53" i="9"/>
  <c r="AD58" i="9"/>
  <c r="AB58" i="9"/>
  <c r="AA58" i="9"/>
  <c r="Z58" i="9"/>
  <c r="AD57" i="9"/>
  <c r="AB57" i="9"/>
  <c r="AA57" i="9"/>
  <c r="Z57" i="9"/>
  <c r="AD56" i="9"/>
  <c r="AB56" i="9"/>
  <c r="AA56" i="9"/>
  <c r="Z56" i="9"/>
  <c r="AD55" i="9"/>
  <c r="AB55" i="9"/>
  <c r="AA55" i="9"/>
  <c r="Z55" i="9"/>
  <c r="AD54" i="9"/>
  <c r="AB54" i="9"/>
  <c r="AA54" i="9"/>
  <c r="Z54" i="9"/>
  <c r="AD53" i="9"/>
  <c r="AB53" i="9"/>
  <c r="AA53" i="9"/>
  <c r="Z53" i="9"/>
  <c r="AD11" i="9"/>
  <c r="AB11" i="9"/>
  <c r="AA11" i="9"/>
  <c r="Z11" i="9"/>
  <c r="AD10" i="9"/>
  <c r="AB10" i="9"/>
  <c r="AA10" i="9"/>
  <c r="Z10" i="9"/>
  <c r="AD9" i="9"/>
  <c r="AB9" i="9"/>
  <c r="AA9" i="9"/>
  <c r="Z9" i="9"/>
  <c r="AD8" i="9"/>
  <c r="AB8" i="9"/>
  <c r="AA8" i="9"/>
  <c r="Z8" i="9"/>
  <c r="AD7" i="9"/>
  <c r="AB7" i="9"/>
  <c r="AA7" i="9"/>
  <c r="Z7" i="9"/>
  <c r="AD6" i="9"/>
  <c r="AB6" i="9"/>
  <c r="AA6" i="9"/>
  <c r="Z6" i="9"/>
  <c r="AD36" i="9"/>
  <c r="AB36" i="9"/>
  <c r="AA36" i="9"/>
  <c r="Z36" i="9"/>
  <c r="AD35" i="9"/>
  <c r="AB35" i="9"/>
  <c r="AA35" i="9"/>
  <c r="Z35" i="9"/>
  <c r="AD34" i="9"/>
  <c r="AB34" i="9"/>
  <c r="AA34" i="9"/>
  <c r="Z34" i="9"/>
  <c r="AD33" i="9"/>
  <c r="AB33" i="9"/>
  <c r="AA33" i="9"/>
  <c r="Z33" i="9"/>
  <c r="AD32" i="9"/>
  <c r="AB32" i="9"/>
  <c r="AA32" i="9"/>
  <c r="Z32" i="9"/>
  <c r="AD31" i="9"/>
  <c r="AB31" i="9"/>
  <c r="AA31" i="9"/>
  <c r="Z31" i="9"/>
  <c r="R36" i="9"/>
  <c r="P36" i="9"/>
  <c r="O36" i="9"/>
  <c r="N36" i="9"/>
  <c r="R35" i="9"/>
  <c r="P35" i="9"/>
  <c r="O35" i="9"/>
  <c r="N35" i="9"/>
  <c r="R34" i="9"/>
  <c r="P34" i="9"/>
  <c r="O34" i="9"/>
  <c r="N34" i="9"/>
  <c r="R33" i="9"/>
  <c r="P33" i="9"/>
  <c r="O33" i="9"/>
  <c r="N33" i="9"/>
  <c r="R32" i="9"/>
  <c r="P32" i="9"/>
  <c r="O32" i="9"/>
  <c r="N32" i="9"/>
  <c r="R31" i="9"/>
  <c r="P31" i="9"/>
  <c r="O31" i="9"/>
  <c r="N31" i="9"/>
  <c r="F68" i="9"/>
  <c r="D68" i="9"/>
  <c r="G68" i="9" s="1"/>
  <c r="B68" i="9"/>
  <c r="F67" i="9"/>
  <c r="D67" i="9"/>
  <c r="G67" i="9" s="1"/>
  <c r="B67" i="9"/>
  <c r="R68" i="9"/>
  <c r="P68" i="9"/>
  <c r="S68" i="9" s="1"/>
  <c r="N68" i="9"/>
  <c r="R67" i="9"/>
  <c r="P67" i="9"/>
  <c r="S67" i="9" s="1"/>
  <c r="N67" i="9"/>
  <c r="AD68" i="9"/>
  <c r="AB68" i="9"/>
  <c r="AE68" i="9" s="1"/>
  <c r="Z68" i="9"/>
  <c r="AD67" i="9"/>
  <c r="AB67" i="9"/>
  <c r="AE67" i="9" s="1"/>
  <c r="Z67" i="9"/>
  <c r="R46" i="9"/>
  <c r="P46" i="9"/>
  <c r="S46" i="9" s="1"/>
  <c r="N46" i="9"/>
  <c r="R45" i="9"/>
  <c r="P45" i="9"/>
  <c r="S45" i="9" s="1"/>
  <c r="N45" i="9"/>
  <c r="AD46" i="9"/>
  <c r="AB46" i="9"/>
  <c r="AE46" i="9" s="1"/>
  <c r="Z46" i="9"/>
  <c r="AD45" i="9"/>
  <c r="AB45" i="9"/>
  <c r="AE45" i="9" s="1"/>
  <c r="Z45" i="9"/>
  <c r="F46" i="9"/>
  <c r="D46" i="9"/>
  <c r="G46" i="9" s="1"/>
  <c r="B46" i="9"/>
  <c r="F45" i="9"/>
  <c r="D45" i="9"/>
  <c r="G45" i="9" s="1"/>
  <c r="B45" i="9"/>
  <c r="F42" i="9"/>
  <c r="D42" i="9"/>
  <c r="C42" i="9"/>
  <c r="B42" i="9"/>
  <c r="F41" i="9"/>
  <c r="D41" i="9"/>
  <c r="C41" i="9"/>
  <c r="B41" i="9"/>
  <c r="F40" i="9"/>
  <c r="D40" i="9"/>
  <c r="C40" i="9"/>
  <c r="B40" i="9"/>
  <c r="F36" i="9"/>
  <c r="D36" i="9"/>
  <c r="C36" i="9"/>
  <c r="B36" i="9"/>
  <c r="F35" i="9"/>
  <c r="D35" i="9"/>
  <c r="C35" i="9"/>
  <c r="B35" i="9"/>
  <c r="F34" i="9"/>
  <c r="D34" i="9"/>
  <c r="C34" i="9"/>
  <c r="B34" i="9"/>
  <c r="F33" i="9"/>
  <c r="D33" i="9"/>
  <c r="C33" i="9"/>
  <c r="B33" i="9"/>
  <c r="F32" i="9"/>
  <c r="D32" i="9"/>
  <c r="C32" i="9"/>
  <c r="B32" i="9"/>
  <c r="B39" i="9"/>
  <c r="C39" i="9"/>
  <c r="F39" i="9"/>
  <c r="D39" i="9"/>
  <c r="F31" i="9"/>
  <c r="D31" i="9"/>
  <c r="C31" i="9"/>
  <c r="B31" i="9"/>
  <c r="K40" i="9"/>
  <c r="J40" i="9"/>
  <c r="I40" i="9"/>
  <c r="K37" i="9"/>
  <c r="J37" i="9"/>
  <c r="K34" i="9"/>
  <c r="J34" i="9"/>
  <c r="I9" i="9"/>
  <c r="K31" i="9"/>
  <c r="AI15" i="9"/>
  <c r="AH15" i="9"/>
  <c r="AI12" i="9"/>
  <c r="AH12" i="9"/>
  <c r="AG12" i="9"/>
  <c r="AI9" i="9"/>
  <c r="AH9" i="9"/>
  <c r="AG9" i="9"/>
  <c r="AI6" i="9"/>
  <c r="AH6" i="9"/>
  <c r="AG6" i="9"/>
  <c r="V9" i="9"/>
  <c r="U9" i="9"/>
  <c r="U6" i="9"/>
  <c r="W15" i="9"/>
  <c r="V15" i="9"/>
  <c r="U15" i="9"/>
  <c r="W12" i="9"/>
  <c r="V12" i="9"/>
  <c r="U12" i="9"/>
  <c r="W9" i="9"/>
  <c r="W6" i="9"/>
  <c r="V6" i="9"/>
  <c r="K6" i="9"/>
  <c r="J6" i="9"/>
  <c r="I6" i="9"/>
  <c r="K15" i="9"/>
  <c r="J15" i="9"/>
  <c r="I15" i="9"/>
  <c r="J9" i="9"/>
  <c r="K12" i="9"/>
  <c r="J12" i="9"/>
  <c r="I12" i="9"/>
  <c r="K9" i="9"/>
  <c r="R17" i="9"/>
  <c r="P17" i="9"/>
  <c r="O17" i="9"/>
  <c r="N17" i="9"/>
  <c r="R16" i="9"/>
  <c r="P16" i="9"/>
  <c r="O16" i="9"/>
  <c r="N16" i="9"/>
  <c r="R15" i="9"/>
  <c r="P15" i="9"/>
  <c r="O15" i="9"/>
  <c r="N15" i="9"/>
  <c r="R11" i="9"/>
  <c r="P11" i="9"/>
  <c r="O11" i="9"/>
  <c r="N11" i="9"/>
  <c r="R10" i="9"/>
  <c r="P10" i="9"/>
  <c r="O10" i="9"/>
  <c r="N10" i="9"/>
  <c r="R9" i="9"/>
  <c r="P9" i="9"/>
  <c r="O9" i="9"/>
  <c r="N9" i="9"/>
  <c r="R8" i="9"/>
  <c r="P8" i="9"/>
  <c r="O8" i="9"/>
  <c r="N8" i="9"/>
  <c r="R7" i="9"/>
  <c r="P7" i="9"/>
  <c r="O7" i="9"/>
  <c r="N7" i="9"/>
  <c r="R24" i="9"/>
  <c r="P24" i="9"/>
  <c r="S24" i="9" s="1"/>
  <c r="N24" i="9"/>
  <c r="R23" i="9"/>
  <c r="P23" i="9"/>
  <c r="S23" i="9" s="1"/>
  <c r="N23" i="9"/>
  <c r="R20" i="9"/>
  <c r="P20" i="9"/>
  <c r="O20" i="9"/>
  <c r="N20" i="9"/>
  <c r="R14" i="9"/>
  <c r="P14" i="9"/>
  <c r="O14" i="9"/>
  <c r="N14" i="9"/>
  <c r="N6" i="9"/>
  <c r="R6" i="9"/>
  <c r="P6" i="9"/>
  <c r="O6" i="9"/>
  <c r="N9" i="32" l="1"/>
  <c r="N8" i="32"/>
  <c r="J27" i="32"/>
  <c r="N27" i="32"/>
  <c r="N34" i="32"/>
  <c r="J42" i="32"/>
  <c r="J41" i="32"/>
  <c r="H4" i="32" a="1"/>
  <c r="AE20" i="9"/>
  <c r="S20" i="9"/>
  <c r="AE15" i="9"/>
  <c r="AE17" i="9"/>
  <c r="AE14" i="9"/>
  <c r="AE16" i="9"/>
  <c r="G39" i="9"/>
  <c r="S15" i="9"/>
  <c r="S17" i="9"/>
  <c r="G41" i="9"/>
  <c r="S16" i="9"/>
  <c r="S14" i="9"/>
  <c r="G40" i="9"/>
  <c r="G42" i="9"/>
  <c r="S39" i="9"/>
  <c r="S41" i="9"/>
  <c r="AE39" i="9"/>
  <c r="AE41" i="9"/>
  <c r="AE61" i="9"/>
  <c r="AE63" i="9"/>
  <c r="S61" i="9"/>
  <c r="S63" i="9"/>
  <c r="G61" i="9"/>
  <c r="G63" i="9"/>
  <c r="AG74" i="9"/>
  <c r="K151" i="1" s="1"/>
  <c r="S40" i="9"/>
  <c r="S42" i="9"/>
  <c r="AE40" i="9"/>
  <c r="AE42" i="9"/>
  <c r="AE62" i="9"/>
  <c r="AE64" i="9"/>
  <c r="S62" i="9"/>
  <c r="S64" i="9"/>
  <c r="G62" i="9"/>
  <c r="G64" i="9"/>
  <c r="S7" i="9"/>
  <c r="S9" i="9"/>
  <c r="S11" i="9"/>
  <c r="AG68" i="9"/>
  <c r="AH68" i="9"/>
  <c r="S6" i="9"/>
  <c r="G33" i="9"/>
  <c r="G35" i="9"/>
  <c r="S32" i="9"/>
  <c r="S34" i="9"/>
  <c r="S36" i="9"/>
  <c r="AE32" i="9"/>
  <c r="AE34" i="9"/>
  <c r="AE36" i="9"/>
  <c r="AE7" i="9"/>
  <c r="AE9" i="9"/>
  <c r="AE11" i="9"/>
  <c r="AE54" i="9"/>
  <c r="AE56" i="9"/>
  <c r="AE58" i="9"/>
  <c r="S54" i="9"/>
  <c r="S56" i="9"/>
  <c r="S58" i="9"/>
  <c r="G54" i="9"/>
  <c r="G56" i="9"/>
  <c r="G58" i="9"/>
  <c r="AI68" i="9"/>
  <c r="AH74" i="9"/>
  <c r="L151" i="1" s="1"/>
  <c r="S8" i="9"/>
  <c r="S10" i="9"/>
  <c r="G31" i="9"/>
  <c r="G32" i="9"/>
  <c r="G34" i="9"/>
  <c r="G36" i="9"/>
  <c r="S31" i="9"/>
  <c r="S33" i="9"/>
  <c r="S35" i="9"/>
  <c r="AE31" i="9"/>
  <c r="AE33" i="9"/>
  <c r="AE35" i="9"/>
  <c r="AE6" i="9"/>
  <c r="AE8" i="9"/>
  <c r="AE10" i="9"/>
  <c r="AE53" i="9"/>
  <c r="AE55" i="9"/>
  <c r="AE57" i="9"/>
  <c r="S53" i="9"/>
  <c r="S55" i="9"/>
  <c r="S57" i="9"/>
  <c r="G53" i="9"/>
  <c r="G55" i="9"/>
  <c r="G57" i="9"/>
  <c r="I74" i="9"/>
  <c r="C151" i="1" s="1"/>
  <c r="J74" i="9"/>
  <c r="D151" i="1" s="1"/>
  <c r="U72" i="9"/>
  <c r="K74" i="9"/>
  <c r="E151" i="1" s="1"/>
  <c r="AG70" i="9"/>
  <c r="AI74" i="9"/>
  <c r="M151" i="1" s="1"/>
  <c r="AH70" i="9"/>
  <c r="U74" i="9"/>
  <c r="G151" i="1" s="1"/>
  <c r="AI70" i="9"/>
  <c r="V74" i="9"/>
  <c r="H151" i="1" s="1"/>
  <c r="AG72" i="9"/>
  <c r="W74" i="9"/>
  <c r="I151" i="1" s="1"/>
  <c r="AH72" i="9"/>
  <c r="AI72" i="9"/>
  <c r="AG86" i="9"/>
  <c r="AH86" i="9"/>
  <c r="AI86" i="9"/>
  <c r="V86" i="9"/>
  <c r="W86" i="9"/>
  <c r="Q86" i="9"/>
  <c r="R86" i="9"/>
  <c r="F24" i="9"/>
  <c r="D24" i="9"/>
  <c r="G24" i="9" s="1"/>
  <c r="B24" i="9"/>
  <c r="F23" i="9"/>
  <c r="D23" i="9"/>
  <c r="B23" i="9"/>
  <c r="F20" i="9"/>
  <c r="D20" i="9"/>
  <c r="C20" i="9"/>
  <c r="B20" i="9"/>
  <c r="F17" i="9"/>
  <c r="D17" i="9"/>
  <c r="C17" i="9"/>
  <c r="B17" i="9"/>
  <c r="F16" i="9"/>
  <c r="D16" i="9"/>
  <c r="C16" i="9"/>
  <c r="B16" i="9"/>
  <c r="F15" i="9"/>
  <c r="D15" i="9"/>
  <c r="C15" i="9"/>
  <c r="B15" i="9"/>
  <c r="F14" i="9"/>
  <c r="D14" i="9"/>
  <c r="F11" i="9"/>
  <c r="D11" i="9"/>
  <c r="C11" i="9"/>
  <c r="B11" i="9"/>
  <c r="F10" i="9"/>
  <c r="D10" i="9"/>
  <c r="C10" i="9"/>
  <c r="B10" i="9"/>
  <c r="F9" i="9"/>
  <c r="D9" i="9"/>
  <c r="C9" i="9"/>
  <c r="B9" i="9"/>
  <c r="F8" i="9"/>
  <c r="D8" i="9"/>
  <c r="C8" i="9"/>
  <c r="B8" i="9"/>
  <c r="F7" i="9"/>
  <c r="D7" i="9"/>
  <c r="C7" i="9"/>
  <c r="B7" i="9"/>
  <c r="C14" i="9"/>
  <c r="B14" i="9"/>
  <c r="F6" i="9"/>
  <c r="D6" i="9"/>
  <c r="B6" i="9"/>
  <c r="K76" i="30"/>
  <c r="L76" i="30"/>
  <c r="K74" i="30"/>
  <c r="L142" i="1" s="1"/>
  <c r="L74" i="30"/>
  <c r="M142" i="1" s="1"/>
  <c r="G76" i="30"/>
  <c r="H76" i="30"/>
  <c r="G74" i="30"/>
  <c r="H74" i="30"/>
  <c r="I142" i="1" s="1"/>
  <c r="C76" i="30"/>
  <c r="J86" i="9" s="1"/>
  <c r="D76" i="30"/>
  <c r="K86" i="9" s="1"/>
  <c r="C74" i="30"/>
  <c r="D142" i="1" s="1"/>
  <c r="D74" i="30"/>
  <c r="E142" i="1" s="1"/>
  <c r="K64" i="30"/>
  <c r="L135" i="1" s="1"/>
  <c r="L64" i="30"/>
  <c r="M135" i="1" s="1"/>
  <c r="K62" i="30"/>
  <c r="L133" i="1" s="1"/>
  <c r="L62" i="30"/>
  <c r="M133" i="1" s="1"/>
  <c r="G64" i="30"/>
  <c r="H135" i="1" s="1"/>
  <c r="H64" i="30"/>
  <c r="I135" i="1" s="1"/>
  <c r="G62" i="30"/>
  <c r="R84" i="9" s="1"/>
  <c r="H62" i="30"/>
  <c r="S84" i="9" s="1"/>
  <c r="C64" i="30"/>
  <c r="D64" i="30"/>
  <c r="C62" i="30"/>
  <c r="F84" i="9" s="1"/>
  <c r="D62" i="30"/>
  <c r="G84" i="9" s="1"/>
  <c r="J76" i="30"/>
  <c r="J74" i="30"/>
  <c r="K142" i="1" s="1"/>
  <c r="F76" i="30"/>
  <c r="U86" i="9" s="1"/>
  <c r="F74" i="30"/>
  <c r="G142" i="1" s="1"/>
  <c r="B76" i="30"/>
  <c r="I86" i="9" s="1"/>
  <c r="B74" i="30"/>
  <c r="C142" i="1" s="1"/>
  <c r="J64" i="30"/>
  <c r="K135" i="1" s="1"/>
  <c r="J62" i="30"/>
  <c r="F64" i="30"/>
  <c r="G135" i="1" s="1"/>
  <c r="F62" i="30"/>
  <c r="B64" i="30"/>
  <c r="B62" i="30"/>
  <c r="C133" i="1" s="1"/>
  <c r="R6" i="6"/>
  <c r="K20" i="1" s="1"/>
  <c r="D2" i="24" s="1"/>
  <c r="D27" i="31"/>
  <c r="D38" i="31"/>
  <c r="H38" i="31" s="1"/>
  <c r="X35" i="3" s="1"/>
  <c r="E33" i="3" s="1"/>
  <c r="D30" i="31"/>
  <c r="F85" i="30" s="1"/>
  <c r="F86" i="30" s="1"/>
  <c r="D33" i="31"/>
  <c r="E33" i="31" s="1"/>
  <c r="D41" i="31"/>
  <c r="E41" i="31" s="1"/>
  <c r="U40" i="3" s="1"/>
  <c r="B34" i="3" s="1"/>
  <c r="AD84" i="9"/>
  <c r="AE84" i="9"/>
  <c r="K59" i="30"/>
  <c r="K60" i="30" s="1"/>
  <c r="L131" i="1" s="1"/>
  <c r="L59" i="30"/>
  <c r="AE82" i="9" s="1"/>
  <c r="AG84" i="9"/>
  <c r="AC84" i="9"/>
  <c r="W84" i="9"/>
  <c r="G59" i="30"/>
  <c r="R82" i="9" s="1"/>
  <c r="H59" i="30"/>
  <c r="S82" i="9" s="1"/>
  <c r="Q84" i="9"/>
  <c r="J84" i="9"/>
  <c r="I84" i="9"/>
  <c r="C59" i="30"/>
  <c r="C60" i="30" s="1"/>
  <c r="D131" i="1" s="1"/>
  <c r="D59" i="30"/>
  <c r="G82" i="9" s="1"/>
  <c r="G6" i="30"/>
  <c r="K6" i="30"/>
  <c r="J27" i="30" s="1"/>
  <c r="C6" i="30"/>
  <c r="B25" i="30" s="1"/>
  <c r="K133" i="1"/>
  <c r="G60" i="30"/>
  <c r="H131" i="1" s="1"/>
  <c r="G133" i="1"/>
  <c r="D133" i="1"/>
  <c r="E133" i="1"/>
  <c r="L49" i="30"/>
  <c r="H49" i="30"/>
  <c r="D49" i="30"/>
  <c r="R14" i="30"/>
  <c r="C71" i="30"/>
  <c r="C72" i="30" s="1"/>
  <c r="D71" i="30"/>
  <c r="D72" i="30" s="1"/>
  <c r="G71" i="30"/>
  <c r="G72" i="30" s="1"/>
  <c r="H71" i="30"/>
  <c r="H72" i="30" s="1"/>
  <c r="K71" i="30"/>
  <c r="K72" i="30" s="1"/>
  <c r="L71" i="30"/>
  <c r="L72" i="30" s="1"/>
  <c r="O12" i="6"/>
  <c r="R12" i="6" s="1"/>
  <c r="K28" i="1" s="1"/>
  <c r="M28" i="1" s="1"/>
  <c r="J12" i="6"/>
  <c r="L12" i="6" s="1"/>
  <c r="G28" i="1" s="1"/>
  <c r="E12" i="6"/>
  <c r="G12" i="6" s="1"/>
  <c r="C28" i="1" s="1"/>
  <c r="E28" i="1" s="1"/>
  <c r="B21" i="3"/>
  <c r="B20" i="3"/>
  <c r="B18" i="3"/>
  <c r="E18" i="3"/>
  <c r="I34" i="9" s="1"/>
  <c r="C5" i="3"/>
  <c r="J31" i="9" s="1"/>
  <c r="B5" i="3"/>
  <c r="N9" i="1"/>
  <c r="N16" i="1" s="1"/>
  <c r="O16" i="1" s="1"/>
  <c r="P9" i="1"/>
  <c r="P16" i="1" s="1"/>
  <c r="Q16" i="1" s="1"/>
  <c r="R9" i="1"/>
  <c r="R16" i="1" s="1"/>
  <c r="S16" i="1" s="1"/>
  <c r="N20" i="1"/>
  <c r="O20" i="1" s="1"/>
  <c r="P20" i="1"/>
  <c r="Q20" i="1" s="1"/>
  <c r="R20" i="1"/>
  <c r="S20" i="1" s="1"/>
  <c r="O21" i="1"/>
  <c r="Q21" i="1"/>
  <c r="S21" i="1"/>
  <c r="N28" i="1"/>
  <c r="O28" i="1" s="1"/>
  <c r="P28" i="1"/>
  <c r="Q28" i="1" s="1"/>
  <c r="R28" i="1"/>
  <c r="S28" i="1" s="1"/>
  <c r="N29" i="1"/>
  <c r="O29" i="1" s="1"/>
  <c r="P29" i="1"/>
  <c r="Q29" i="1" s="1"/>
  <c r="R29" i="1"/>
  <c r="S29" i="1" s="1"/>
  <c r="O30" i="1"/>
  <c r="Q30" i="1"/>
  <c r="S30" i="1"/>
  <c r="N32" i="1"/>
  <c r="O32" i="1" s="1"/>
  <c r="P32" i="1"/>
  <c r="Q32" i="1"/>
  <c r="R32" i="1"/>
  <c r="S32" i="1" s="1"/>
  <c r="N33" i="1"/>
  <c r="O33" i="1" s="1"/>
  <c r="P33" i="1"/>
  <c r="Q33" i="1" s="1"/>
  <c r="R33" i="1"/>
  <c r="S33" i="1" s="1"/>
  <c r="N34" i="1"/>
  <c r="O34" i="1" s="1"/>
  <c r="P34" i="1"/>
  <c r="Q34" i="1" s="1"/>
  <c r="R34" i="1"/>
  <c r="S34" i="1" s="1"/>
  <c r="N36" i="1"/>
  <c r="O36" i="1" s="1"/>
  <c r="P36" i="1"/>
  <c r="Q36" i="1" s="1"/>
  <c r="R36" i="1"/>
  <c r="S36" i="1" s="1"/>
  <c r="N37" i="1"/>
  <c r="O37" i="1" s="1"/>
  <c r="P37" i="1"/>
  <c r="Q37" i="1" s="1"/>
  <c r="R37" i="1"/>
  <c r="S37" i="1" s="1"/>
  <c r="N38" i="1"/>
  <c r="O38" i="1" s="1"/>
  <c r="P38" i="1"/>
  <c r="Q38" i="1" s="1"/>
  <c r="R38" i="1"/>
  <c r="S38" i="1" s="1"/>
  <c r="N39" i="1"/>
  <c r="O39" i="1" s="1"/>
  <c r="P39" i="1"/>
  <c r="Q39" i="1" s="1"/>
  <c r="R39" i="1"/>
  <c r="S39" i="1" s="1"/>
  <c r="N40" i="1"/>
  <c r="O40" i="1" s="1"/>
  <c r="P40" i="1"/>
  <c r="Q40" i="1" s="1"/>
  <c r="R40" i="1"/>
  <c r="S40" i="1" s="1"/>
  <c r="N41" i="1"/>
  <c r="O41" i="1" s="1"/>
  <c r="P41" i="1"/>
  <c r="Q41" i="1" s="1"/>
  <c r="R41" i="1"/>
  <c r="S41" i="1" s="1"/>
  <c r="N42" i="1"/>
  <c r="O42" i="1" s="1"/>
  <c r="P42" i="1"/>
  <c r="Q42" i="1" s="1"/>
  <c r="R42" i="1"/>
  <c r="S42" i="1" s="1"/>
  <c r="N44" i="1"/>
  <c r="O44" i="1" s="1"/>
  <c r="P44" i="1"/>
  <c r="Q44" i="1" s="1"/>
  <c r="R44" i="1"/>
  <c r="S44" i="1" s="1"/>
  <c r="N52" i="1"/>
  <c r="O52" i="1" s="1"/>
  <c r="P52" i="1"/>
  <c r="Q52" i="1" s="1"/>
  <c r="R52" i="1"/>
  <c r="S52" i="1" s="1"/>
  <c r="N53" i="1"/>
  <c r="O53" i="1" s="1"/>
  <c r="P53" i="1"/>
  <c r="Q53" i="1" s="1"/>
  <c r="R53" i="1"/>
  <c r="S53" i="1" s="1"/>
  <c r="I52" i="3"/>
  <c r="O23" i="6"/>
  <c r="R23" i="6" s="1"/>
  <c r="K39" i="1" s="1"/>
  <c r="O24" i="6"/>
  <c r="R24" i="6" s="1"/>
  <c r="K40" i="1" s="1"/>
  <c r="J23" i="6"/>
  <c r="L23" i="6" s="1"/>
  <c r="G39" i="1" s="1"/>
  <c r="I39" i="1" s="1"/>
  <c r="J24" i="6"/>
  <c r="L24" i="6" s="1"/>
  <c r="G40" i="1" s="1"/>
  <c r="E23" i="6"/>
  <c r="G23" i="6" s="1"/>
  <c r="C39" i="1" s="1"/>
  <c r="E24" i="6"/>
  <c r="G24" i="6" s="1"/>
  <c r="C40" i="1" s="1"/>
  <c r="E40" i="1" s="1"/>
  <c r="C10" i="23"/>
  <c r="J11" i="23"/>
  <c r="J10" i="23"/>
  <c r="J9" i="23"/>
  <c r="AA67" i="8"/>
  <c r="AA68" i="8"/>
  <c r="AA69" i="8"/>
  <c r="AA70" i="8"/>
  <c r="Y67" i="8"/>
  <c r="AB67" i="8" s="1"/>
  <c r="Y68" i="8"/>
  <c r="AB68" i="8" s="1"/>
  <c r="Y69" i="8"/>
  <c r="AB69" i="8" s="1"/>
  <c r="Y70" i="8"/>
  <c r="AB70" i="8" s="1"/>
  <c r="W67" i="8"/>
  <c r="W68" i="8"/>
  <c r="W69" i="8"/>
  <c r="W70" i="8"/>
  <c r="AA66" i="8"/>
  <c r="Y66" i="8"/>
  <c r="AB66" i="8" s="1"/>
  <c r="W66" i="8"/>
  <c r="AA49" i="8"/>
  <c r="AA50" i="8"/>
  <c r="AA51" i="8"/>
  <c r="AA52" i="8"/>
  <c r="Y49" i="8"/>
  <c r="AB49" i="8" s="1"/>
  <c r="Y50" i="8"/>
  <c r="AB50" i="8" s="1"/>
  <c r="Y51" i="8"/>
  <c r="AB51" i="8" s="1"/>
  <c r="Y52" i="8"/>
  <c r="AB52" i="8" s="1"/>
  <c r="W49" i="8"/>
  <c r="W50" i="8"/>
  <c r="W51" i="8"/>
  <c r="W52" i="8"/>
  <c r="AA48" i="8"/>
  <c r="Y48" i="8"/>
  <c r="AB48" i="8" s="1"/>
  <c r="W48" i="8"/>
  <c r="AA27" i="8"/>
  <c r="AA28" i="8"/>
  <c r="AA30" i="8"/>
  <c r="AA31" i="8"/>
  <c r="Y27" i="8"/>
  <c r="AB27" i="8" s="1"/>
  <c r="Y28" i="8"/>
  <c r="AB28" i="8" s="1"/>
  <c r="Y30" i="8"/>
  <c r="AB30" i="8" s="1"/>
  <c r="Y31" i="8"/>
  <c r="AB31" i="8" s="1"/>
  <c r="V27" i="8"/>
  <c r="W27" i="8"/>
  <c r="V28" i="8"/>
  <c r="W28" i="8"/>
  <c r="V30" i="8"/>
  <c r="W30" i="8"/>
  <c r="V31" i="8"/>
  <c r="W31" i="8"/>
  <c r="AA26" i="8"/>
  <c r="Y26" i="8"/>
  <c r="AB26" i="8" s="1"/>
  <c r="W26" i="8"/>
  <c r="V26" i="8"/>
  <c r="AA39" i="8"/>
  <c r="AA38" i="8"/>
  <c r="AA37" i="8"/>
  <c r="AA36" i="8"/>
  <c r="AA35" i="8"/>
  <c r="Y39" i="8"/>
  <c r="AB39" i="8" s="1"/>
  <c r="Y38" i="8"/>
  <c r="AB38" i="8" s="1"/>
  <c r="Y37" i="8"/>
  <c r="AB37" i="8" s="1"/>
  <c r="Y36" i="8"/>
  <c r="AB36" i="8" s="1"/>
  <c r="Y35" i="8"/>
  <c r="AB35" i="8" s="1"/>
  <c r="W39" i="8"/>
  <c r="W38" i="8"/>
  <c r="W37" i="8"/>
  <c r="W36" i="8"/>
  <c r="W35" i="8"/>
  <c r="AA15" i="8"/>
  <c r="AA16" i="8"/>
  <c r="AA17" i="8"/>
  <c r="AA18" i="8"/>
  <c r="Y15" i="8"/>
  <c r="AB15" i="8" s="1"/>
  <c r="Y16" i="8"/>
  <c r="AB16" i="8" s="1"/>
  <c r="Y17" i="8"/>
  <c r="AB17" i="8" s="1"/>
  <c r="Y18" i="8"/>
  <c r="AB18" i="8" s="1"/>
  <c r="W15" i="8"/>
  <c r="W16" i="8"/>
  <c r="W17" i="8"/>
  <c r="W18" i="8"/>
  <c r="AA14" i="8"/>
  <c r="Y14" i="8"/>
  <c r="AB14" i="8" s="1"/>
  <c r="W14" i="8"/>
  <c r="AA7" i="8"/>
  <c r="AA8" i="8"/>
  <c r="AA10" i="8"/>
  <c r="AA11" i="8"/>
  <c r="Y7" i="8"/>
  <c r="AB7" i="8" s="1"/>
  <c r="Y8" i="8"/>
  <c r="AB8" i="8" s="1"/>
  <c r="Y10" i="8"/>
  <c r="AB10" i="8" s="1"/>
  <c r="Y11" i="8"/>
  <c r="AB11" i="8" s="1"/>
  <c r="V7" i="8"/>
  <c r="W7" i="8"/>
  <c r="V8" i="8"/>
  <c r="W8" i="8"/>
  <c r="V10" i="8"/>
  <c r="W10" i="8"/>
  <c r="V11" i="8"/>
  <c r="W11" i="8"/>
  <c r="AA6" i="8"/>
  <c r="Y6" i="8"/>
  <c r="AB6" i="8" s="1"/>
  <c r="W6" i="8"/>
  <c r="V6" i="8"/>
  <c r="Q67" i="8"/>
  <c r="Q68" i="8"/>
  <c r="Q69" i="8"/>
  <c r="Q70" i="8"/>
  <c r="O67" i="8"/>
  <c r="R67" i="8" s="1"/>
  <c r="O68" i="8"/>
  <c r="R68" i="8" s="1"/>
  <c r="O69" i="8"/>
  <c r="R69" i="8" s="1"/>
  <c r="O70" i="8"/>
  <c r="R70" i="8" s="1"/>
  <c r="M67" i="8"/>
  <c r="M68" i="8"/>
  <c r="M69" i="8"/>
  <c r="M70" i="8"/>
  <c r="Q66" i="8"/>
  <c r="O66" i="8"/>
  <c r="R66" i="8" s="1"/>
  <c r="M66" i="8"/>
  <c r="Q49" i="8"/>
  <c r="Q50" i="8"/>
  <c r="Q51" i="8"/>
  <c r="Q52" i="8"/>
  <c r="O49" i="8"/>
  <c r="R49" i="8" s="1"/>
  <c r="O50" i="8"/>
  <c r="R50" i="8" s="1"/>
  <c r="O51" i="8"/>
  <c r="R51" i="8" s="1"/>
  <c r="O52" i="8"/>
  <c r="R52" i="8" s="1"/>
  <c r="M49" i="8"/>
  <c r="M50" i="8"/>
  <c r="M51" i="8"/>
  <c r="M52" i="8"/>
  <c r="Q48" i="8"/>
  <c r="O48" i="8"/>
  <c r="R48" i="8" s="1"/>
  <c r="M48" i="8"/>
  <c r="Q27" i="8"/>
  <c r="Q28" i="8"/>
  <c r="Q30" i="8"/>
  <c r="Q31" i="8"/>
  <c r="Q26" i="8"/>
  <c r="L27" i="8"/>
  <c r="M27" i="8"/>
  <c r="L28" i="8"/>
  <c r="M28" i="8"/>
  <c r="L30" i="8"/>
  <c r="M30" i="8"/>
  <c r="L31" i="8"/>
  <c r="M31" i="8"/>
  <c r="O27" i="8"/>
  <c r="R27" i="8" s="1"/>
  <c r="O28" i="8"/>
  <c r="R28" i="8" s="1"/>
  <c r="O30" i="8"/>
  <c r="R30" i="8" s="1"/>
  <c r="O31" i="8"/>
  <c r="R31" i="8" s="1"/>
  <c r="O26" i="8"/>
  <c r="R26" i="8" s="1"/>
  <c r="M26" i="8"/>
  <c r="Q39" i="8"/>
  <c r="Q38" i="8"/>
  <c r="Q37" i="8"/>
  <c r="Q36" i="8"/>
  <c r="Q35" i="8"/>
  <c r="O39" i="8"/>
  <c r="R39" i="8" s="1"/>
  <c r="O38" i="8"/>
  <c r="R38" i="8" s="1"/>
  <c r="O37" i="8"/>
  <c r="R37" i="8" s="1"/>
  <c r="O36" i="8"/>
  <c r="R36" i="8" s="1"/>
  <c r="O35" i="8"/>
  <c r="R35" i="8" s="1"/>
  <c r="M39" i="8"/>
  <c r="M38" i="8"/>
  <c r="M37" i="8"/>
  <c r="M36" i="8"/>
  <c r="M35" i="8"/>
  <c r="Q15" i="8"/>
  <c r="Q16" i="8"/>
  <c r="Q17" i="8"/>
  <c r="Q18" i="8"/>
  <c r="O15" i="8"/>
  <c r="R15" i="8" s="1"/>
  <c r="O16" i="8"/>
  <c r="R16" i="8" s="1"/>
  <c r="O17" i="8"/>
  <c r="R17" i="8" s="1"/>
  <c r="O18" i="8"/>
  <c r="R18" i="8" s="1"/>
  <c r="M15" i="8"/>
  <c r="M16" i="8"/>
  <c r="M17" i="8"/>
  <c r="M18" i="8"/>
  <c r="Q14" i="8"/>
  <c r="O14" i="8"/>
  <c r="R14" i="8" s="1"/>
  <c r="M14" i="8"/>
  <c r="Q7" i="8"/>
  <c r="Q8" i="8"/>
  <c r="Q10" i="8"/>
  <c r="Q11" i="8"/>
  <c r="O7" i="8"/>
  <c r="R7" i="8" s="1"/>
  <c r="O8" i="8"/>
  <c r="R8" i="8" s="1"/>
  <c r="O10" i="8"/>
  <c r="R10" i="8" s="1"/>
  <c r="O11" i="8"/>
  <c r="R11" i="8" s="1"/>
  <c r="L7" i="8"/>
  <c r="M7" i="8"/>
  <c r="L8" i="8"/>
  <c r="M8" i="8"/>
  <c r="L10" i="8"/>
  <c r="M10" i="8"/>
  <c r="L11" i="8"/>
  <c r="M11" i="8"/>
  <c r="Q6" i="8"/>
  <c r="O6" i="8"/>
  <c r="R6" i="8" s="1"/>
  <c r="M6" i="8"/>
  <c r="L6" i="8"/>
  <c r="G67" i="8"/>
  <c r="G68" i="8"/>
  <c r="G69" i="8"/>
  <c r="G70" i="8"/>
  <c r="G66" i="8"/>
  <c r="E67" i="8"/>
  <c r="H67" i="8" s="1"/>
  <c r="E68" i="8"/>
  <c r="H68" i="8" s="1"/>
  <c r="E69" i="8"/>
  <c r="H69" i="8" s="1"/>
  <c r="E70" i="8"/>
  <c r="H70" i="8" s="1"/>
  <c r="E66" i="8"/>
  <c r="H66" i="8" s="1"/>
  <c r="C67" i="8"/>
  <c r="C68" i="8"/>
  <c r="C69" i="8"/>
  <c r="C70" i="8"/>
  <c r="C66" i="8"/>
  <c r="G49" i="8"/>
  <c r="G50" i="8"/>
  <c r="G51" i="8"/>
  <c r="G52" i="8"/>
  <c r="G48" i="8"/>
  <c r="E49" i="8"/>
  <c r="H49" i="8" s="1"/>
  <c r="E50" i="8"/>
  <c r="H50" i="8" s="1"/>
  <c r="E51" i="8"/>
  <c r="H51" i="8" s="1"/>
  <c r="E52" i="8"/>
  <c r="H52" i="8" s="1"/>
  <c r="E48" i="8"/>
  <c r="H48" i="8" s="1"/>
  <c r="C49" i="8"/>
  <c r="C50" i="8"/>
  <c r="C51" i="8"/>
  <c r="C52" i="8"/>
  <c r="C48" i="8"/>
  <c r="G39" i="8"/>
  <c r="G38" i="8"/>
  <c r="G37" i="8"/>
  <c r="G36" i="8"/>
  <c r="E39" i="8"/>
  <c r="H39" i="8" s="1"/>
  <c r="E38" i="8"/>
  <c r="H38" i="8" s="1"/>
  <c r="E37" i="8"/>
  <c r="H37" i="8" s="1"/>
  <c r="E36" i="8"/>
  <c r="H36" i="8" s="1"/>
  <c r="E35" i="8"/>
  <c r="H35" i="8" s="1"/>
  <c r="C39" i="8"/>
  <c r="C38" i="8"/>
  <c r="C37" i="8"/>
  <c r="C36" i="8"/>
  <c r="C35" i="8"/>
  <c r="G27" i="8"/>
  <c r="G28" i="8"/>
  <c r="G30" i="8"/>
  <c r="G31" i="8"/>
  <c r="E27" i="8"/>
  <c r="H27" i="8" s="1"/>
  <c r="E28" i="8"/>
  <c r="H28" i="8" s="1"/>
  <c r="E30" i="8"/>
  <c r="H30" i="8" s="1"/>
  <c r="E31" i="8"/>
  <c r="H31" i="8" s="1"/>
  <c r="E26" i="8"/>
  <c r="H26" i="8" s="1"/>
  <c r="B27" i="8"/>
  <c r="C27" i="8"/>
  <c r="B28" i="8"/>
  <c r="C28" i="8"/>
  <c r="B30" i="8"/>
  <c r="C30" i="8"/>
  <c r="B31" i="8"/>
  <c r="C31" i="8"/>
  <c r="C26" i="8"/>
  <c r="B26" i="8"/>
  <c r="L26" i="8"/>
  <c r="E15" i="8"/>
  <c r="H15" i="8" s="1"/>
  <c r="E16" i="8"/>
  <c r="H16" i="8" s="1"/>
  <c r="E17" i="8"/>
  <c r="H17" i="8" s="1"/>
  <c r="E18" i="8"/>
  <c r="H18" i="8" s="1"/>
  <c r="E14" i="8"/>
  <c r="H14" i="8" s="1"/>
  <c r="E7" i="8"/>
  <c r="H7" i="8" s="1"/>
  <c r="E8" i="8"/>
  <c r="H8" i="8" s="1"/>
  <c r="E10" i="8"/>
  <c r="H10" i="8" s="1"/>
  <c r="E11" i="8"/>
  <c r="H11" i="8" s="1"/>
  <c r="E6" i="8"/>
  <c r="H6" i="8" s="1"/>
  <c r="G26" i="8"/>
  <c r="B6" i="8"/>
  <c r="G15" i="8"/>
  <c r="G16" i="8"/>
  <c r="G17" i="8"/>
  <c r="G18" i="8"/>
  <c r="C15" i="8"/>
  <c r="C16" i="8"/>
  <c r="C17" i="8"/>
  <c r="C18" i="8"/>
  <c r="G14" i="8"/>
  <c r="C14" i="8"/>
  <c r="G7" i="8"/>
  <c r="G8" i="8"/>
  <c r="G10" i="8"/>
  <c r="G11" i="8"/>
  <c r="B7" i="8"/>
  <c r="C7" i="8"/>
  <c r="B8" i="8"/>
  <c r="C8" i="8"/>
  <c r="B10" i="8"/>
  <c r="C10" i="8"/>
  <c r="B11" i="8"/>
  <c r="C11" i="8"/>
  <c r="C6" i="8"/>
  <c r="G8" i="19"/>
  <c r="G9" i="19" s="1"/>
  <c r="G6" i="19"/>
  <c r="H7" i="2"/>
  <c r="H8" i="2"/>
  <c r="H13" i="2" s="1"/>
  <c r="M10" i="2" s="1"/>
  <c r="O10" i="2"/>
  <c r="O10" i="6"/>
  <c r="R10" i="6" s="1"/>
  <c r="K26" i="1" s="1"/>
  <c r="O11" i="6"/>
  <c r="R11" i="6" s="1"/>
  <c r="K27" i="1" s="1"/>
  <c r="O14" i="6"/>
  <c r="R14" i="6" s="1"/>
  <c r="K30" i="1" s="1"/>
  <c r="L30" i="1" s="1"/>
  <c r="O15" i="6"/>
  <c r="R15" i="6" s="1"/>
  <c r="K31" i="1" s="1"/>
  <c r="O17" i="6"/>
  <c r="R17" i="6" s="1"/>
  <c r="K33" i="1" s="1"/>
  <c r="O18" i="6"/>
  <c r="R18" i="6" s="1"/>
  <c r="K34" i="1" s="1"/>
  <c r="O20" i="6"/>
  <c r="R20" i="6" s="1"/>
  <c r="K36" i="1" s="1"/>
  <c r="O21" i="6"/>
  <c r="R21" i="6" s="1"/>
  <c r="K37" i="1" s="1"/>
  <c r="O22" i="6"/>
  <c r="R22" i="6" s="1"/>
  <c r="K38" i="1" s="1"/>
  <c r="O25" i="6"/>
  <c r="R25" i="6" s="1"/>
  <c r="K41" i="1" s="1"/>
  <c r="O27" i="6"/>
  <c r="R27" i="6" s="1"/>
  <c r="K43" i="1" s="1"/>
  <c r="O28" i="6"/>
  <c r="R28" i="6" s="1"/>
  <c r="K44" i="1" s="1"/>
  <c r="O29" i="6"/>
  <c r="R29" i="6" s="1"/>
  <c r="K45" i="1" s="1"/>
  <c r="O30" i="6"/>
  <c r="R30" i="6" s="1"/>
  <c r="K46" i="1" s="1"/>
  <c r="L46" i="1" s="1"/>
  <c r="O31" i="6"/>
  <c r="R31" i="6" s="1"/>
  <c r="K48" i="1" s="1"/>
  <c r="D30" i="24" s="1"/>
  <c r="L12" i="19"/>
  <c r="O35" i="6"/>
  <c r="R35" i="6" s="1"/>
  <c r="K53" i="1" s="1"/>
  <c r="O36" i="6"/>
  <c r="R36" i="6" s="1"/>
  <c r="K54" i="1" s="1"/>
  <c r="O37" i="6"/>
  <c r="R37" i="6" s="1"/>
  <c r="K55" i="1" s="1"/>
  <c r="O38" i="6"/>
  <c r="R38" i="6" s="1"/>
  <c r="K57" i="1" s="1"/>
  <c r="M57" i="1" s="1"/>
  <c r="J10" i="6"/>
  <c r="L10" i="6" s="1"/>
  <c r="G26" i="1" s="1"/>
  <c r="J11" i="6"/>
  <c r="L11" i="6" s="1"/>
  <c r="G27" i="1" s="1"/>
  <c r="J14" i="6"/>
  <c r="L14" i="6" s="1"/>
  <c r="G30" i="1" s="1"/>
  <c r="J15" i="6"/>
  <c r="L15" i="6" s="1"/>
  <c r="G31" i="1" s="1"/>
  <c r="I31" i="1" s="1"/>
  <c r="J17" i="6"/>
  <c r="L17" i="6" s="1"/>
  <c r="G33" i="1" s="1"/>
  <c r="J18" i="6"/>
  <c r="L18" i="6" s="1"/>
  <c r="G34" i="1" s="1"/>
  <c r="I34" i="1" s="1"/>
  <c r="J20" i="6"/>
  <c r="L20" i="6" s="1"/>
  <c r="G36" i="1" s="1"/>
  <c r="J21" i="6"/>
  <c r="L21" i="6" s="1"/>
  <c r="G37" i="1" s="1"/>
  <c r="J22" i="6"/>
  <c r="L22" i="6" s="1"/>
  <c r="G38" i="1" s="1"/>
  <c r="J25" i="6"/>
  <c r="L25" i="6" s="1"/>
  <c r="G41" i="1" s="1"/>
  <c r="J27" i="6"/>
  <c r="L27" i="6" s="1"/>
  <c r="G43" i="1" s="1"/>
  <c r="J28" i="6"/>
  <c r="L28" i="6" s="1"/>
  <c r="G44" i="1" s="1"/>
  <c r="J29" i="6"/>
  <c r="L29" i="6" s="1"/>
  <c r="G45" i="1" s="1"/>
  <c r="J30" i="6"/>
  <c r="L30" i="6" s="1"/>
  <c r="G46" i="1" s="1"/>
  <c r="J31" i="6"/>
  <c r="L31" i="6" s="1"/>
  <c r="G48" i="1" s="1"/>
  <c r="C30" i="24" s="1"/>
  <c r="L6" i="6"/>
  <c r="G20" i="1"/>
  <c r="I20" i="1" s="1"/>
  <c r="J35" i="6"/>
  <c r="L35" i="6" s="1"/>
  <c r="G53" i="1" s="1"/>
  <c r="J36" i="6"/>
  <c r="L36" i="6" s="1"/>
  <c r="G54" i="1" s="1"/>
  <c r="J37" i="6"/>
  <c r="L37" i="6" s="1"/>
  <c r="G55" i="1" s="1"/>
  <c r="J38" i="6"/>
  <c r="L38" i="6" s="1"/>
  <c r="G57" i="1" s="1"/>
  <c r="G6" i="6"/>
  <c r="C20" i="1" s="1"/>
  <c r="B2" i="24" s="1"/>
  <c r="E10" i="6"/>
  <c r="G10" i="6" s="1"/>
  <c r="C26" i="1" s="1"/>
  <c r="E11" i="6"/>
  <c r="G11" i="6" s="1"/>
  <c r="C27" i="1" s="1"/>
  <c r="E15" i="6"/>
  <c r="G15" i="6" s="1"/>
  <c r="C31" i="1" s="1"/>
  <c r="E14" i="6"/>
  <c r="G14" i="6" s="1"/>
  <c r="C30" i="1" s="1"/>
  <c r="E17" i="6"/>
  <c r="G17" i="6" s="1"/>
  <c r="C33" i="1" s="1"/>
  <c r="E20" i="6"/>
  <c r="G20" i="6" s="1"/>
  <c r="C36" i="1" s="1"/>
  <c r="E25" i="6"/>
  <c r="G25" i="6" s="1"/>
  <c r="C41" i="1" s="1"/>
  <c r="E30" i="6"/>
  <c r="G30" i="6" s="1"/>
  <c r="C46" i="1" s="1"/>
  <c r="E18" i="6"/>
  <c r="G18" i="6" s="1"/>
  <c r="C34" i="1" s="1"/>
  <c r="E21" i="6"/>
  <c r="G21" i="6" s="1"/>
  <c r="C37" i="1" s="1"/>
  <c r="B19" i="24" s="1"/>
  <c r="E22" i="6"/>
  <c r="G22" i="6" s="1"/>
  <c r="C38" i="1" s="1"/>
  <c r="E27" i="6"/>
  <c r="G27" i="6" s="1"/>
  <c r="C43" i="1" s="1"/>
  <c r="D43" i="1" s="1"/>
  <c r="E28" i="6"/>
  <c r="G28" i="6" s="1"/>
  <c r="C44" i="1" s="1"/>
  <c r="E29" i="6"/>
  <c r="G29" i="6" s="1"/>
  <c r="C45" i="1" s="1"/>
  <c r="E45" i="1" s="1"/>
  <c r="E31" i="6"/>
  <c r="G31" i="6" s="1"/>
  <c r="C48" i="1" s="1"/>
  <c r="E48" i="1" s="1"/>
  <c r="E37" i="6"/>
  <c r="G37" i="6" s="1"/>
  <c r="C55" i="1" s="1"/>
  <c r="E35" i="6"/>
  <c r="G35" i="6" s="1"/>
  <c r="C53" i="1" s="1"/>
  <c r="E38" i="6"/>
  <c r="G38" i="6" s="1"/>
  <c r="C57" i="1" s="1"/>
  <c r="E36" i="6"/>
  <c r="G36" i="6" s="1"/>
  <c r="C54" i="1" s="1"/>
  <c r="C13" i="23"/>
  <c r="N11" i="2"/>
  <c r="O11" i="2"/>
  <c r="P11" i="2"/>
  <c r="H18" i="2"/>
  <c r="H29" i="2" s="1"/>
  <c r="M11" i="2" s="1"/>
  <c r="H19" i="2"/>
  <c r="H20" i="2"/>
  <c r="H21" i="2"/>
  <c r="H22" i="2"/>
  <c r="H23" i="2"/>
  <c r="H24" i="2"/>
  <c r="H25" i="2"/>
  <c r="H26" i="2"/>
  <c r="H27" i="2"/>
  <c r="H28" i="2"/>
  <c r="N12" i="2"/>
  <c r="O12" i="2"/>
  <c r="P12" i="2"/>
  <c r="H34" i="2"/>
  <c r="H42" i="2" s="1"/>
  <c r="M12" i="2" s="1"/>
  <c r="H35" i="2"/>
  <c r="H36" i="2"/>
  <c r="H37" i="2"/>
  <c r="H38" i="2"/>
  <c r="H39" i="2"/>
  <c r="H40" i="2"/>
  <c r="H41" i="2"/>
  <c r="N10" i="2"/>
  <c r="P10" i="2"/>
  <c r="H9" i="2"/>
  <c r="H10" i="2"/>
  <c r="H11" i="2"/>
  <c r="H12" i="2"/>
  <c r="K14" i="19"/>
  <c r="L14" i="19"/>
  <c r="M14" i="19"/>
  <c r="G19" i="2"/>
  <c r="G18" i="2"/>
  <c r="G29" i="2" s="1"/>
  <c r="G20" i="2"/>
  <c r="G21" i="2"/>
  <c r="G22" i="2"/>
  <c r="G23" i="2"/>
  <c r="G24" i="2"/>
  <c r="G25" i="2"/>
  <c r="G26" i="2"/>
  <c r="G27" i="2"/>
  <c r="G28" i="2"/>
  <c r="N14" i="2"/>
  <c r="O14" i="2"/>
  <c r="P14" i="2"/>
  <c r="G34" i="2"/>
  <c r="G35" i="2"/>
  <c r="G36" i="2"/>
  <c r="G37" i="2"/>
  <c r="G38" i="2"/>
  <c r="G39" i="2"/>
  <c r="G42" i="2" s="1"/>
  <c r="G40" i="2"/>
  <c r="G41" i="2"/>
  <c r="N15" i="2"/>
  <c r="O15" i="2"/>
  <c r="P15" i="2"/>
  <c r="K13" i="19"/>
  <c r="L13" i="19"/>
  <c r="M13" i="19"/>
  <c r="K12" i="19"/>
  <c r="M12" i="19"/>
  <c r="J3" i="2"/>
  <c r="I7" i="2" s="1"/>
  <c r="C6" i="23"/>
  <c r="C5" i="23"/>
  <c r="C4" i="23"/>
  <c r="I2" i="20"/>
  <c r="J2" i="20"/>
  <c r="C7" i="20" s="1"/>
  <c r="K2" i="20"/>
  <c r="C12" i="23"/>
  <c r="C11" i="23"/>
  <c r="H22" i="19"/>
  <c r="G32" i="19"/>
  <c r="L45" i="19"/>
  <c r="L44" i="19"/>
  <c r="L41" i="19"/>
  <c r="L43" i="19" s="1"/>
  <c r="L42" i="19"/>
  <c r="K42" i="19"/>
  <c r="K41" i="19"/>
  <c r="G7" i="19"/>
  <c r="F4" i="20"/>
  <c r="D22" i="1"/>
  <c r="D29" i="1"/>
  <c r="D32" i="1"/>
  <c r="D35" i="1"/>
  <c r="D42" i="1"/>
  <c r="L22" i="1"/>
  <c r="L29" i="1"/>
  <c r="L32" i="1"/>
  <c r="L35" i="1"/>
  <c r="L42" i="1"/>
  <c r="H22" i="1"/>
  <c r="H29" i="1"/>
  <c r="H32" i="1"/>
  <c r="H35" i="1"/>
  <c r="H42" i="1"/>
  <c r="G8" i="2"/>
  <c r="G9" i="2"/>
  <c r="G10" i="2"/>
  <c r="G11" i="2"/>
  <c r="G12" i="2"/>
  <c r="B22" i="3"/>
  <c r="I53" i="9" s="1"/>
  <c r="D19" i="17"/>
  <c r="C22" i="17" s="1"/>
  <c r="D22" i="17" s="1"/>
  <c r="D12" i="17"/>
  <c r="C15" i="17"/>
  <c r="D15" i="17"/>
  <c r="D5" i="17"/>
  <c r="C8" i="17"/>
  <c r="D8" i="17"/>
  <c r="G13" i="2"/>
  <c r="F59" i="30" l="1"/>
  <c r="Q82" i="9" s="1"/>
  <c r="G56" i="30"/>
  <c r="G57" i="30" s="1"/>
  <c r="H79" i="8"/>
  <c r="R62" i="8"/>
  <c r="H62" i="8"/>
  <c r="C24" i="1" s="1"/>
  <c r="E24" i="1" s="1"/>
  <c r="R79" i="8"/>
  <c r="AB79" i="8"/>
  <c r="AB62" i="8"/>
  <c r="H4" i="32"/>
  <c r="J4" i="32" s="1"/>
  <c r="J12" i="32"/>
  <c r="M14" i="2"/>
  <c r="M15" i="2"/>
  <c r="E84" i="9"/>
  <c r="E86" i="9"/>
  <c r="C135" i="1"/>
  <c r="AE86" i="9"/>
  <c r="AD86" i="9"/>
  <c r="V84" i="9"/>
  <c r="H142" i="1"/>
  <c r="S86" i="9"/>
  <c r="AC86" i="9"/>
  <c r="U84" i="9"/>
  <c r="AI84" i="9"/>
  <c r="B56" i="30"/>
  <c r="B57" i="30" s="1"/>
  <c r="G86" i="9"/>
  <c r="E135" i="1"/>
  <c r="I31" i="9"/>
  <c r="I68" i="9" s="1"/>
  <c r="C145" i="1" s="1"/>
  <c r="I133" i="1"/>
  <c r="K84" i="9"/>
  <c r="AH84" i="9"/>
  <c r="F86" i="9"/>
  <c r="D135" i="1"/>
  <c r="J11" i="32"/>
  <c r="J10" i="32"/>
  <c r="J8" i="32"/>
  <c r="J7" i="32"/>
  <c r="J9" i="32"/>
  <c r="J6" i="32"/>
  <c r="J5" i="32"/>
  <c r="Q6" i="20"/>
  <c r="Q9" i="20" s="1"/>
  <c r="P6" i="20"/>
  <c r="P9" i="20" s="1"/>
  <c r="O6" i="20"/>
  <c r="B43" i="20"/>
  <c r="B13" i="20"/>
  <c r="B16" i="20" s="1"/>
  <c r="I38" i="2"/>
  <c r="H13" i="19"/>
  <c r="E13" i="19" s="1"/>
  <c r="K64" i="1" s="1"/>
  <c r="D37" i="24" s="1"/>
  <c r="H20" i="8"/>
  <c r="G20" i="9"/>
  <c r="E38" i="31"/>
  <c r="U35" i="3" s="1"/>
  <c r="B33" i="3" s="1"/>
  <c r="F41" i="31"/>
  <c r="V40" i="3" s="1"/>
  <c r="C34" i="3" s="1"/>
  <c r="G41" i="31"/>
  <c r="W40" i="3" s="1"/>
  <c r="D34" i="3" s="1"/>
  <c r="G15" i="9"/>
  <c r="G17" i="9"/>
  <c r="G14" i="9"/>
  <c r="G16" i="9"/>
  <c r="K25" i="1"/>
  <c r="M25" i="1" s="1"/>
  <c r="AB20" i="8"/>
  <c r="AB42" i="8"/>
  <c r="H42" i="8"/>
  <c r="R20" i="8"/>
  <c r="R42" i="8"/>
  <c r="G24" i="1"/>
  <c r="I24" i="1" s="1"/>
  <c r="G23" i="9"/>
  <c r="G8" i="9"/>
  <c r="G10" i="9"/>
  <c r="G7" i="9"/>
  <c r="G9" i="9"/>
  <c r="G11" i="9"/>
  <c r="G6" i="9"/>
  <c r="B7" i="20"/>
  <c r="G13" i="19"/>
  <c r="D13" i="19" s="1"/>
  <c r="G64" i="1" s="1"/>
  <c r="I64" i="1" s="1"/>
  <c r="D31" i="24"/>
  <c r="L53" i="1"/>
  <c r="B10" i="24"/>
  <c r="F13" i="19"/>
  <c r="C13" i="19" s="1"/>
  <c r="C64" i="1" s="1"/>
  <c r="B37" i="24" s="1"/>
  <c r="D28" i="1"/>
  <c r="H20" i="1"/>
  <c r="L28" i="1"/>
  <c r="C2" i="24"/>
  <c r="D10" i="24"/>
  <c r="H48" i="1"/>
  <c r="B15" i="24"/>
  <c r="D33" i="1"/>
  <c r="H55" i="1"/>
  <c r="I55" i="1"/>
  <c r="C33" i="24"/>
  <c r="L20" i="1"/>
  <c r="H12" i="19"/>
  <c r="E12" i="19" s="1"/>
  <c r="K56" i="1" s="1"/>
  <c r="S14" i="2"/>
  <c r="V14" i="2" s="1"/>
  <c r="R12" i="2"/>
  <c r="U12" i="2" s="1"/>
  <c r="M20" i="1"/>
  <c r="I9" i="2"/>
  <c r="J8" i="2"/>
  <c r="H34" i="1"/>
  <c r="C25" i="30"/>
  <c r="C89" i="30" s="1"/>
  <c r="C69" i="30" s="1"/>
  <c r="I8" i="2"/>
  <c r="Q10" i="2"/>
  <c r="T10" i="2" s="1"/>
  <c r="C47" i="1" s="1"/>
  <c r="I28" i="1"/>
  <c r="C10" i="24"/>
  <c r="C32" i="24"/>
  <c r="H54" i="1"/>
  <c r="D41" i="1"/>
  <c r="B23" i="24"/>
  <c r="E41" i="1"/>
  <c r="D16" i="24"/>
  <c r="L34" i="1"/>
  <c r="M34" i="1"/>
  <c r="D30" i="1"/>
  <c r="B12" i="24"/>
  <c r="E30" i="1"/>
  <c r="I43" i="1"/>
  <c r="H43" i="1"/>
  <c r="C25" i="24"/>
  <c r="L31" i="1"/>
  <c r="D13" i="24"/>
  <c r="M31" i="1"/>
  <c r="Q14" i="2"/>
  <c r="T14" i="2" s="1"/>
  <c r="R14" i="2"/>
  <c r="U14" i="2" s="1"/>
  <c r="F12" i="19"/>
  <c r="L48" i="1"/>
  <c r="M48" i="1"/>
  <c r="L40" i="1"/>
  <c r="M40" i="1"/>
  <c r="D22" i="24"/>
  <c r="C12" i="24"/>
  <c r="I30" i="1"/>
  <c r="H30" i="1"/>
  <c r="B13" i="24"/>
  <c r="E31" i="1"/>
  <c r="D31" i="1"/>
  <c r="D18" i="24"/>
  <c r="L36" i="1"/>
  <c r="M36" i="1"/>
  <c r="H57" i="1"/>
  <c r="I57" i="1"/>
  <c r="C35" i="24"/>
  <c r="C36" i="24" s="1"/>
  <c r="D44" i="1"/>
  <c r="B26" i="24"/>
  <c r="E44" i="1"/>
  <c r="H46" i="1"/>
  <c r="I46" i="1"/>
  <c r="C28" i="24"/>
  <c r="I26" i="1"/>
  <c r="C8" i="24"/>
  <c r="H26" i="1"/>
  <c r="M44" i="1"/>
  <c r="D26" i="24"/>
  <c r="L44" i="1"/>
  <c r="C26" i="24"/>
  <c r="H44" i="1"/>
  <c r="I44" i="1"/>
  <c r="M55" i="1"/>
  <c r="L55" i="1"/>
  <c r="D33" i="24"/>
  <c r="D23" i="24"/>
  <c r="L41" i="1"/>
  <c r="M41" i="1"/>
  <c r="D13" i="20"/>
  <c r="D16" i="20" s="1"/>
  <c r="D22" i="20"/>
  <c r="D49" i="20"/>
  <c r="C49" i="20"/>
  <c r="C22" i="20"/>
  <c r="B49" i="20"/>
  <c r="I21" i="2"/>
  <c r="I23" i="2"/>
  <c r="J23" i="2"/>
  <c r="J18" i="2"/>
  <c r="J39" i="2"/>
  <c r="I22" i="2"/>
  <c r="J10" i="2"/>
  <c r="J19" i="2"/>
  <c r="I28" i="2"/>
  <c r="J7" i="2"/>
  <c r="J27" i="2"/>
  <c r="J24" i="2"/>
  <c r="J28" i="2"/>
  <c r="I36" i="2"/>
  <c r="I40" i="2"/>
  <c r="J11" i="2"/>
  <c r="J41" i="2"/>
  <c r="J21" i="2"/>
  <c r="J20" i="2"/>
  <c r="J37" i="2"/>
  <c r="I34" i="2"/>
  <c r="I10" i="2"/>
  <c r="I24" i="2"/>
  <c r="J12" i="2"/>
  <c r="I25" i="2"/>
  <c r="I18" i="2"/>
  <c r="I35" i="2"/>
  <c r="I26" i="2"/>
  <c r="I37" i="2"/>
  <c r="I39" i="2"/>
  <c r="I41" i="2"/>
  <c r="J38" i="2"/>
  <c r="I12" i="2"/>
  <c r="J34" i="2"/>
  <c r="Q15" i="2"/>
  <c r="T15" i="2" s="1"/>
  <c r="S15" i="2"/>
  <c r="V15" i="2" s="1"/>
  <c r="R15" i="2"/>
  <c r="U15" i="2" s="1"/>
  <c r="F14" i="19"/>
  <c r="C14" i="19" s="1"/>
  <c r="C65" i="1" s="1"/>
  <c r="G14" i="19"/>
  <c r="D14" i="19" s="1"/>
  <c r="G65" i="1" s="1"/>
  <c r="S12" i="2"/>
  <c r="V12" i="2" s="1"/>
  <c r="Q12" i="2"/>
  <c r="T12" i="2" s="1"/>
  <c r="S11" i="2"/>
  <c r="V11" i="2" s="1"/>
  <c r="Q11" i="2"/>
  <c r="T11" i="2" s="1"/>
  <c r="R11" i="2"/>
  <c r="U11" i="2" s="1"/>
  <c r="D38" i="1"/>
  <c r="B20" i="24"/>
  <c r="L43" i="1"/>
  <c r="D25" i="24"/>
  <c r="M43" i="1"/>
  <c r="B22" i="24"/>
  <c r="D40" i="1"/>
  <c r="D21" i="24"/>
  <c r="L39" i="1"/>
  <c r="M39" i="1"/>
  <c r="F27" i="30"/>
  <c r="F91" i="30" s="1"/>
  <c r="F92" i="30" s="1"/>
  <c r="H25" i="30"/>
  <c r="H89" i="30" s="1"/>
  <c r="H69" i="30" s="1"/>
  <c r="C43" i="20"/>
  <c r="H28" i="1"/>
  <c r="E33" i="1"/>
  <c r="C16" i="24"/>
  <c r="I19" i="2"/>
  <c r="D32" i="24"/>
  <c r="L54" i="1"/>
  <c r="M54" i="1"/>
  <c r="D39" i="1"/>
  <c r="E39" i="1"/>
  <c r="B21" i="24"/>
  <c r="B32" i="24"/>
  <c r="D54" i="1"/>
  <c r="E54" i="1"/>
  <c r="H14" i="19"/>
  <c r="E14" i="19" s="1"/>
  <c r="K65" i="1" s="1"/>
  <c r="C13" i="20"/>
  <c r="C16" i="20" s="1"/>
  <c r="I41" i="1"/>
  <c r="H41" i="1"/>
  <c r="C23" i="24"/>
  <c r="C22" i="24"/>
  <c r="H40" i="1"/>
  <c r="I40" i="1"/>
  <c r="I27" i="2"/>
  <c r="E57" i="1"/>
  <c r="D57" i="1"/>
  <c r="C27" i="24"/>
  <c r="H45" i="1"/>
  <c r="I45" i="1"/>
  <c r="H33" i="1"/>
  <c r="I33" i="1"/>
  <c r="M53" i="1"/>
  <c r="D20" i="24"/>
  <c r="M38" i="1"/>
  <c r="L38" i="1"/>
  <c r="M33" i="1"/>
  <c r="L33" i="1"/>
  <c r="D15" i="24"/>
  <c r="I54" i="1"/>
  <c r="B22" i="20"/>
  <c r="D48" i="1"/>
  <c r="J26" i="2"/>
  <c r="J35" i="2"/>
  <c r="D34" i="1"/>
  <c r="E34" i="1"/>
  <c r="B16" i="24"/>
  <c r="C20" i="24"/>
  <c r="I38" i="1"/>
  <c r="H38" i="1"/>
  <c r="M27" i="1"/>
  <c r="D9" i="24"/>
  <c r="L27" i="1"/>
  <c r="H39" i="1"/>
  <c r="C21" i="24"/>
  <c r="J25" i="2"/>
  <c r="B28" i="24"/>
  <c r="E46" i="1"/>
  <c r="D46" i="1"/>
  <c r="I27" i="1"/>
  <c r="H27" i="1"/>
  <c r="C9" i="24"/>
  <c r="J9" i="2"/>
  <c r="D45" i="1"/>
  <c r="B27" i="24"/>
  <c r="C15" i="24"/>
  <c r="B30" i="24"/>
  <c r="J36" i="2"/>
  <c r="I11" i="2"/>
  <c r="B31" i="24"/>
  <c r="E53" i="1"/>
  <c r="D53" i="1"/>
  <c r="I53" i="1"/>
  <c r="C31" i="24"/>
  <c r="H53" i="1"/>
  <c r="F35" i="19"/>
  <c r="C35" i="19" s="1"/>
  <c r="H35" i="19"/>
  <c r="E35" i="19" s="1"/>
  <c r="G12" i="19"/>
  <c r="D12" i="19" s="1"/>
  <c r="G56" i="1" s="1"/>
  <c r="G35" i="19"/>
  <c r="D35" i="19" s="1"/>
  <c r="G26" i="19"/>
  <c r="D26" i="19" s="1"/>
  <c r="F26" i="19"/>
  <c r="C26" i="19" s="1"/>
  <c r="H26" i="19"/>
  <c r="E26" i="19" s="1"/>
  <c r="M45" i="1"/>
  <c r="D27" i="24"/>
  <c r="L45" i="1"/>
  <c r="D19" i="24"/>
  <c r="M37" i="1"/>
  <c r="L37" i="1"/>
  <c r="J40" i="2"/>
  <c r="D37" i="1"/>
  <c r="E37" i="1"/>
  <c r="D28" i="24"/>
  <c r="M46" i="1"/>
  <c r="D12" i="24"/>
  <c r="I48" i="1"/>
  <c r="I20" i="2"/>
  <c r="B35" i="24"/>
  <c r="E38" i="1"/>
  <c r="M30" i="1"/>
  <c r="H37" i="1"/>
  <c r="I37" i="1"/>
  <c r="C19" i="24"/>
  <c r="H31" i="1"/>
  <c r="C13" i="24"/>
  <c r="D35" i="24"/>
  <c r="D36" i="24" s="1"/>
  <c r="L57" i="1"/>
  <c r="D8" i="24"/>
  <c r="L26" i="1"/>
  <c r="M26" i="1"/>
  <c r="D43" i="20"/>
  <c r="D7" i="20"/>
  <c r="J22" i="2"/>
  <c r="S10" i="2"/>
  <c r="V10" i="2" s="1"/>
  <c r="K47" i="1" s="1"/>
  <c r="R10" i="2"/>
  <c r="U10" i="2" s="1"/>
  <c r="G47" i="1" s="1"/>
  <c r="B33" i="24"/>
  <c r="E55" i="1"/>
  <c r="D55" i="1"/>
  <c r="B25" i="24"/>
  <c r="E43" i="1"/>
  <c r="E36" i="1"/>
  <c r="D36" i="1"/>
  <c r="B18" i="24"/>
  <c r="E27" i="1"/>
  <c r="B9" i="24"/>
  <c r="D27" i="1"/>
  <c r="H36" i="1"/>
  <c r="I36" i="1"/>
  <c r="C18" i="24"/>
  <c r="H133" i="1"/>
  <c r="C83" i="30"/>
  <c r="C84" i="30" s="1"/>
  <c r="H60" i="30"/>
  <c r="I131" i="1" s="1"/>
  <c r="D25" i="30"/>
  <c r="D89" i="30" s="1"/>
  <c r="D69" i="30" s="1"/>
  <c r="L60" i="30"/>
  <c r="M131" i="1" s="1"/>
  <c r="B27" i="30"/>
  <c r="B91" i="30" s="1"/>
  <c r="B92" i="30" s="1"/>
  <c r="F82" i="9"/>
  <c r="E27" i="31"/>
  <c r="J25" i="30"/>
  <c r="J89" i="30" s="1"/>
  <c r="J69" i="30" s="1"/>
  <c r="K56" i="30"/>
  <c r="K57" i="30" s="1"/>
  <c r="B83" i="30"/>
  <c r="B84" i="30" s="1"/>
  <c r="F25" i="30"/>
  <c r="D83" i="30"/>
  <c r="D84" i="30" s="1"/>
  <c r="D60" i="30"/>
  <c r="E131" i="1" s="1"/>
  <c r="J59" i="30"/>
  <c r="J60" i="30" s="1"/>
  <c r="K131" i="1" s="1"/>
  <c r="F33" i="31"/>
  <c r="J83" i="30"/>
  <c r="J84" i="30" s="1"/>
  <c r="B59" i="30"/>
  <c r="C56" i="30"/>
  <c r="C57" i="30" s="1"/>
  <c r="D129" i="1" s="1"/>
  <c r="G33" i="31"/>
  <c r="K83" i="30"/>
  <c r="K84" i="30" s="1"/>
  <c r="D56" i="30"/>
  <c r="D57" i="30" s="1"/>
  <c r="E129" i="1" s="1"/>
  <c r="H33" i="31"/>
  <c r="L83" i="30"/>
  <c r="L84" i="30" s="1"/>
  <c r="AD82" i="9"/>
  <c r="F56" i="30"/>
  <c r="F57" i="30" s="1"/>
  <c r="G129" i="1" s="1"/>
  <c r="H27" i="31"/>
  <c r="I140" i="1"/>
  <c r="W82" i="9"/>
  <c r="E140" i="1"/>
  <c r="K82" i="9"/>
  <c r="D140" i="1"/>
  <c r="J82" i="9"/>
  <c r="L140" i="1"/>
  <c r="AH82" i="9"/>
  <c r="H129" i="1"/>
  <c r="R80" i="9"/>
  <c r="E80" i="9"/>
  <c r="C129" i="1"/>
  <c r="B89" i="30"/>
  <c r="B68" i="30"/>
  <c r="V82" i="9"/>
  <c r="H140" i="1"/>
  <c r="M140" i="1"/>
  <c r="AI82" i="9"/>
  <c r="J91" i="30"/>
  <c r="J92" i="30" s="1"/>
  <c r="J71" i="30"/>
  <c r="J72" i="30" s="1"/>
  <c r="Q80" i="9"/>
  <c r="F60" i="30"/>
  <c r="G131" i="1" s="1"/>
  <c r="L25" i="30"/>
  <c r="G25" i="30"/>
  <c r="H56" i="30"/>
  <c r="H57" i="30" s="1"/>
  <c r="G30" i="31"/>
  <c r="G27" i="31"/>
  <c r="B85" i="30"/>
  <c r="B86" i="30" s="1"/>
  <c r="J85" i="30"/>
  <c r="J86" i="30" s="1"/>
  <c r="J56" i="30"/>
  <c r="J57" i="30" s="1"/>
  <c r="H30" i="31"/>
  <c r="F27" i="31"/>
  <c r="F83" i="30"/>
  <c r="F84" i="30" s="1"/>
  <c r="K25" i="30"/>
  <c r="E30" i="31"/>
  <c r="G83" i="30"/>
  <c r="G84" i="30" s="1"/>
  <c r="L56" i="30"/>
  <c r="L57" i="30" s="1"/>
  <c r="F30" i="31"/>
  <c r="H83" i="30"/>
  <c r="H84" i="30" s="1"/>
  <c r="G149" i="1"/>
  <c r="H41" i="31"/>
  <c r="X40" i="3" s="1"/>
  <c r="E34" i="3" s="1"/>
  <c r="F38" i="31"/>
  <c r="V35" i="3" s="1"/>
  <c r="C33" i="3" s="1"/>
  <c r="G38" i="31"/>
  <c r="W35" i="3" s="1"/>
  <c r="D33" i="3" s="1"/>
  <c r="W72" i="9"/>
  <c r="I149" i="1" s="1"/>
  <c r="K149" i="1"/>
  <c r="L149" i="1"/>
  <c r="J72" i="9"/>
  <c r="D149" i="1" s="1"/>
  <c r="M149" i="1"/>
  <c r="V72" i="9"/>
  <c r="H149" i="1" s="1"/>
  <c r="I72" i="9"/>
  <c r="C149" i="1" s="1"/>
  <c r="K72" i="9"/>
  <c r="E149" i="1" s="1"/>
  <c r="K147" i="1"/>
  <c r="U68" i="9"/>
  <c r="G145" i="1" s="1"/>
  <c r="U70" i="9"/>
  <c r="G147" i="1" s="1"/>
  <c r="K70" i="9"/>
  <c r="E147" i="1" s="1"/>
  <c r="L145" i="1"/>
  <c r="V70" i="9"/>
  <c r="H147" i="1" s="1"/>
  <c r="K145" i="1"/>
  <c r="M145" i="1"/>
  <c r="K68" i="9"/>
  <c r="E145" i="1" s="1"/>
  <c r="V68" i="9"/>
  <c r="H145" i="1" s="1"/>
  <c r="L147" i="1"/>
  <c r="J68" i="9"/>
  <c r="D145" i="1" s="1"/>
  <c r="J70" i="9"/>
  <c r="D147" i="1" s="1"/>
  <c r="W70" i="9"/>
  <c r="I147" i="1" s="1"/>
  <c r="W68" i="9"/>
  <c r="I145" i="1" s="1"/>
  <c r="M147" i="1"/>
  <c r="I70" i="9"/>
  <c r="C147" i="1" s="1"/>
  <c r="E26" i="1"/>
  <c r="B8" i="24"/>
  <c r="D26" i="1"/>
  <c r="E20" i="1"/>
  <c r="D20" i="1"/>
  <c r="AB82" i="8" l="1"/>
  <c r="K24" i="1"/>
  <c r="L24" i="1" s="1"/>
  <c r="C12" i="19"/>
  <c r="C56" i="1" s="1"/>
  <c r="O9" i="20"/>
  <c r="H64" i="1"/>
  <c r="K67" i="1"/>
  <c r="D41" i="24" s="1"/>
  <c r="M64" i="1"/>
  <c r="L64" i="1"/>
  <c r="C37" i="24"/>
  <c r="C67" i="1"/>
  <c r="D67" i="1" s="1"/>
  <c r="L56" i="1"/>
  <c r="C23" i="1"/>
  <c r="D23" i="1" s="1"/>
  <c r="H24" i="1"/>
  <c r="B6" i="24"/>
  <c r="C6" i="24"/>
  <c r="D24" i="1"/>
  <c r="B29" i="24"/>
  <c r="K23" i="1"/>
  <c r="M23" i="1" s="1"/>
  <c r="D7" i="24"/>
  <c r="L25" i="1"/>
  <c r="D6" i="24"/>
  <c r="M24" i="1"/>
  <c r="G23" i="1"/>
  <c r="C5" i="24" s="1"/>
  <c r="R82" i="8"/>
  <c r="G25" i="1"/>
  <c r="I25" i="1" s="1"/>
  <c r="C25" i="1"/>
  <c r="H82" i="8"/>
  <c r="H90" i="30"/>
  <c r="D34" i="24"/>
  <c r="G66" i="1"/>
  <c r="H66" i="1" s="1"/>
  <c r="H68" i="30"/>
  <c r="D11" i="24"/>
  <c r="J68" i="30"/>
  <c r="F71" i="30"/>
  <c r="F72" i="30" s="1"/>
  <c r="U82" i="9" s="1"/>
  <c r="B11" i="24"/>
  <c r="K58" i="1"/>
  <c r="L3" i="24" s="1"/>
  <c r="M56" i="1"/>
  <c r="M58" i="1" s="1"/>
  <c r="C68" i="30"/>
  <c r="E64" i="1"/>
  <c r="D64" i="1"/>
  <c r="I13" i="2"/>
  <c r="B14" i="24"/>
  <c r="K66" i="1"/>
  <c r="L66" i="1" s="1"/>
  <c r="C24" i="24"/>
  <c r="D14" i="24"/>
  <c r="E47" i="1"/>
  <c r="C14" i="24"/>
  <c r="D24" i="24"/>
  <c r="D47" i="1"/>
  <c r="B17" i="24"/>
  <c r="J42" i="2"/>
  <c r="D68" i="30"/>
  <c r="C17" i="24"/>
  <c r="G67" i="1"/>
  <c r="I67" i="1" s="1"/>
  <c r="G75" i="1"/>
  <c r="D42" i="19"/>
  <c r="E42" i="19" s="1"/>
  <c r="L65" i="1"/>
  <c r="M65" i="1"/>
  <c r="D38" i="24"/>
  <c r="J29" i="2"/>
  <c r="D25" i="20"/>
  <c r="D31" i="20"/>
  <c r="D34" i="20" s="1"/>
  <c r="D90" i="30"/>
  <c r="B24" i="24"/>
  <c r="B36" i="24"/>
  <c r="I56" i="1"/>
  <c r="I58" i="1" s="1"/>
  <c r="H56" i="1"/>
  <c r="G58" i="1"/>
  <c r="K3" i="24" s="1"/>
  <c r="C34" i="24"/>
  <c r="F13" i="20"/>
  <c r="C66" i="1"/>
  <c r="F42" i="19"/>
  <c r="G42" i="19" s="1"/>
  <c r="K75" i="1"/>
  <c r="I29" i="2"/>
  <c r="B42" i="19"/>
  <c r="C42" i="19" s="1"/>
  <c r="C75" i="1"/>
  <c r="B57" i="20"/>
  <c r="B60" i="20" s="1"/>
  <c r="B52" i="20"/>
  <c r="C11" i="24"/>
  <c r="C90" i="30"/>
  <c r="C29" i="24"/>
  <c r="I47" i="1"/>
  <c r="H47" i="1"/>
  <c r="F41" i="19"/>
  <c r="K74" i="1"/>
  <c r="H65" i="1"/>
  <c r="C38" i="24"/>
  <c r="I65" i="1"/>
  <c r="C31" i="20"/>
  <c r="C34" i="20" s="1"/>
  <c r="C25" i="20"/>
  <c r="J13" i="2"/>
  <c r="B71" i="30"/>
  <c r="B72" i="30" s="1"/>
  <c r="C140" i="1" s="1"/>
  <c r="L47" i="1"/>
  <c r="M47" i="1"/>
  <c r="D29" i="24"/>
  <c r="B41" i="19"/>
  <c r="C74" i="1"/>
  <c r="F22" i="20"/>
  <c r="B25" i="20"/>
  <c r="B31" i="20"/>
  <c r="B34" i="20" s="1"/>
  <c r="E65" i="1"/>
  <c r="D65" i="1"/>
  <c r="B38" i="24"/>
  <c r="C52" i="20"/>
  <c r="C57" i="20"/>
  <c r="C60" i="20" s="1"/>
  <c r="D17" i="24"/>
  <c r="D41" i="19"/>
  <c r="G74" i="1"/>
  <c r="I42" i="2"/>
  <c r="D52" i="20"/>
  <c r="D57" i="20"/>
  <c r="D60" i="20" s="1"/>
  <c r="G80" i="9"/>
  <c r="AC82" i="9"/>
  <c r="J90" i="30"/>
  <c r="F80" i="9"/>
  <c r="F68" i="30"/>
  <c r="F89" i="30"/>
  <c r="B60" i="30"/>
  <c r="C131" i="1" s="1"/>
  <c r="E82" i="9"/>
  <c r="AD80" i="9"/>
  <c r="L129" i="1"/>
  <c r="I129" i="1"/>
  <c r="S80" i="9"/>
  <c r="J80" i="9"/>
  <c r="D138" i="1"/>
  <c r="M129" i="1"/>
  <c r="AE80" i="9"/>
  <c r="K129" i="1"/>
  <c r="AC80" i="9"/>
  <c r="G68" i="30"/>
  <c r="G89" i="30"/>
  <c r="K138" i="1"/>
  <c r="AG80" i="9"/>
  <c r="L89" i="30"/>
  <c r="L68" i="30"/>
  <c r="AG82" i="9"/>
  <c r="K140" i="1"/>
  <c r="W80" i="9"/>
  <c r="I138" i="1"/>
  <c r="K89" i="30"/>
  <c r="K68" i="30"/>
  <c r="B90" i="30"/>
  <c r="B69" i="30"/>
  <c r="E138" i="1"/>
  <c r="K80" i="9"/>
  <c r="S69" i="9"/>
  <c r="G25" i="9"/>
  <c r="G69" i="9"/>
  <c r="G47" i="9"/>
  <c r="S25" i="9"/>
  <c r="S47" i="9"/>
  <c r="AE25" i="9"/>
  <c r="AE47" i="9"/>
  <c r="AE69" i="9"/>
  <c r="B34" i="24" l="1"/>
  <c r="C58" i="1"/>
  <c r="J3" i="24" s="1"/>
  <c r="E56" i="1"/>
  <c r="E58" i="1" s="1"/>
  <c r="D56" i="1"/>
  <c r="Q18" i="20"/>
  <c r="Q21" i="20" s="1"/>
  <c r="K13" i="1" s="1"/>
  <c r="K16" i="1" s="1"/>
  <c r="K87" i="1" s="1"/>
  <c r="M67" i="1"/>
  <c r="P18" i="20"/>
  <c r="P21" i="20" s="1"/>
  <c r="G13" i="1" s="1"/>
  <c r="G16" i="1" s="1"/>
  <c r="L67" i="1"/>
  <c r="O18" i="20"/>
  <c r="O21" i="20" s="1"/>
  <c r="C13" i="1" s="1"/>
  <c r="C16" i="1" s="1"/>
  <c r="C87" i="1" s="1"/>
  <c r="B41" i="24"/>
  <c r="E67" i="1"/>
  <c r="C68" i="1"/>
  <c r="M66" i="1"/>
  <c r="I66" i="1"/>
  <c r="I68" i="1" s="1"/>
  <c r="C40" i="24"/>
  <c r="C39" i="24" s="1"/>
  <c r="G68" i="1"/>
  <c r="L23" i="1"/>
  <c r="D5" i="24"/>
  <c r="D4" i="24" s="1"/>
  <c r="I23" i="1"/>
  <c r="E23" i="1"/>
  <c r="B5" i="24"/>
  <c r="H23" i="1"/>
  <c r="H25" i="1"/>
  <c r="C7" i="24"/>
  <c r="C4" i="24" s="1"/>
  <c r="B7" i="24"/>
  <c r="D25" i="1"/>
  <c r="E25" i="1"/>
  <c r="G140" i="1"/>
  <c r="I82" i="9"/>
  <c r="C41" i="24"/>
  <c r="H67" i="1"/>
  <c r="D40" i="24"/>
  <c r="D39" i="24" s="1"/>
  <c r="K68" i="1"/>
  <c r="E74" i="1"/>
  <c r="C76" i="1"/>
  <c r="D74" i="1"/>
  <c r="L74" i="1"/>
  <c r="K76" i="1"/>
  <c r="M74" i="1"/>
  <c r="L75" i="1"/>
  <c r="M75" i="1"/>
  <c r="B43" i="19"/>
  <c r="C41" i="19"/>
  <c r="C43" i="19" s="1"/>
  <c r="G41" i="19"/>
  <c r="G43" i="19" s="1"/>
  <c r="F43" i="19"/>
  <c r="E66" i="1"/>
  <c r="B40" i="24"/>
  <c r="B39" i="24" s="1"/>
  <c r="D66" i="1"/>
  <c r="I75" i="1"/>
  <c r="H75" i="1"/>
  <c r="E41" i="19"/>
  <c r="E43" i="19" s="1"/>
  <c r="D43" i="19"/>
  <c r="D75" i="1"/>
  <c r="E75" i="1"/>
  <c r="G76" i="1"/>
  <c r="H74" i="1"/>
  <c r="I74" i="1"/>
  <c r="F69" i="30"/>
  <c r="U80" i="9" s="1"/>
  <c r="F90" i="30"/>
  <c r="L69" i="30"/>
  <c r="L90" i="30"/>
  <c r="K69" i="30"/>
  <c r="K90" i="30"/>
  <c r="G90" i="30"/>
  <c r="G69" i="30"/>
  <c r="C138" i="1"/>
  <c r="I80" i="9"/>
  <c r="G72" i="9"/>
  <c r="C21" i="1" s="1"/>
  <c r="E21" i="1" s="1"/>
  <c r="S72" i="9"/>
  <c r="G21" i="1" s="1"/>
  <c r="H21" i="1" s="1"/>
  <c r="AE72" i="9"/>
  <c r="K21" i="1" s="1"/>
  <c r="M21" i="1" s="1"/>
  <c r="M49" i="1" s="1"/>
  <c r="M59" i="1" s="1"/>
  <c r="M68" i="1" l="1"/>
  <c r="E68" i="1"/>
  <c r="G91" i="1"/>
  <c r="G87" i="1"/>
  <c r="K91" i="1"/>
  <c r="C91" i="1"/>
  <c r="B4" i="24"/>
  <c r="E49" i="1"/>
  <c r="E59" i="1" s="1"/>
  <c r="E16" i="1"/>
  <c r="B20" i="19" s="1"/>
  <c r="E4" i="23"/>
  <c r="I76" i="1"/>
  <c r="M76" i="1"/>
  <c r="E5" i="23"/>
  <c r="I16" i="1"/>
  <c r="C20" i="19" s="1"/>
  <c r="M16" i="1"/>
  <c r="D20" i="19" s="1"/>
  <c r="E6" i="23"/>
  <c r="E76" i="1"/>
  <c r="G138" i="1"/>
  <c r="AH80" i="9"/>
  <c r="L138" i="1"/>
  <c r="H138" i="1"/>
  <c r="V80" i="9"/>
  <c r="AI80" i="9"/>
  <c r="M138" i="1"/>
  <c r="C3" i="24"/>
  <c r="I21" i="1"/>
  <c r="I49" i="1" s="1"/>
  <c r="I59" i="1" s="1"/>
  <c r="C49" i="1"/>
  <c r="J2" i="24" s="1"/>
  <c r="B3" i="24"/>
  <c r="D21" i="1"/>
  <c r="G49" i="1"/>
  <c r="G59" i="1" s="1"/>
  <c r="K49" i="1"/>
  <c r="K50" i="1" s="1"/>
  <c r="M50" i="1" s="1"/>
  <c r="D3" i="24"/>
  <c r="L21" i="1"/>
  <c r="G103" i="1" l="1"/>
  <c r="G105" i="1"/>
  <c r="G102" i="1"/>
  <c r="G106" i="1"/>
  <c r="G83" i="1"/>
  <c r="H20" i="19"/>
  <c r="C59" i="1"/>
  <c r="K59" i="1"/>
  <c r="C50" i="1"/>
  <c r="E50" i="1" s="1"/>
  <c r="L2" i="24"/>
  <c r="G50" i="1"/>
  <c r="I50" i="1" s="1"/>
  <c r="K2" i="24"/>
  <c r="G69" i="1"/>
  <c r="F5" i="23"/>
  <c r="K4" i="24"/>
  <c r="G60" i="1"/>
  <c r="G95" i="1" s="1"/>
  <c r="C103" i="1" l="1"/>
  <c r="C106" i="1"/>
  <c r="G70" i="1"/>
  <c r="G119" i="1"/>
  <c r="G117" i="1"/>
  <c r="G112" i="1"/>
  <c r="G110" i="1"/>
  <c r="G113" i="1"/>
  <c r="G109" i="1"/>
  <c r="G120" i="1"/>
  <c r="G116" i="1"/>
  <c r="K106" i="1"/>
  <c r="K105" i="1"/>
  <c r="K103" i="1"/>
  <c r="K102" i="1"/>
  <c r="K83" i="1"/>
  <c r="F4" i="23"/>
  <c r="G4" i="23" s="1"/>
  <c r="C105" i="1"/>
  <c r="C102" i="1"/>
  <c r="C83" i="1"/>
  <c r="L4" i="24"/>
  <c r="K60" i="1"/>
  <c r="K69" i="1"/>
  <c r="C69" i="1"/>
  <c r="C109" i="1" s="1"/>
  <c r="J4" i="24"/>
  <c r="C60" i="1"/>
  <c r="F6" i="23"/>
  <c r="G6" i="23" s="1"/>
  <c r="I60" i="1"/>
  <c r="G5" i="23"/>
  <c r="I69" i="1"/>
  <c r="D53" i="19"/>
  <c r="G77" i="1"/>
  <c r="D52" i="19"/>
  <c r="D49" i="19"/>
  <c r="D48" i="19"/>
  <c r="C120" i="1" l="1"/>
  <c r="C119" i="1"/>
  <c r="C117" i="1"/>
  <c r="C110" i="1"/>
  <c r="C116" i="1"/>
  <c r="C113" i="1"/>
  <c r="K120" i="1"/>
  <c r="K113" i="1"/>
  <c r="K119" i="1"/>
  <c r="K112" i="1"/>
  <c r="K117" i="1"/>
  <c r="K110" i="1"/>
  <c r="K116" i="1"/>
  <c r="K109" i="1"/>
  <c r="C112" i="1"/>
  <c r="F52" i="19"/>
  <c r="B52" i="19"/>
  <c r="M60" i="1"/>
  <c r="K95" i="1"/>
  <c r="E60" i="1"/>
  <c r="C95" i="1"/>
  <c r="C77" i="1"/>
  <c r="C78" i="1" s="1"/>
  <c r="E78" i="1" s="1"/>
  <c r="F49" i="19"/>
  <c r="K70" i="1"/>
  <c r="F40" i="19" s="1"/>
  <c r="G40" i="19" s="1"/>
  <c r="G44" i="19" s="1"/>
  <c r="M69" i="1"/>
  <c r="F48" i="19"/>
  <c r="F53" i="19"/>
  <c r="K77" i="1"/>
  <c r="K123" i="1" s="1"/>
  <c r="C15" i="23"/>
  <c r="C70" i="1"/>
  <c r="E70" i="1" s="1"/>
  <c r="E69" i="1"/>
  <c r="B49" i="19"/>
  <c r="B48" i="19"/>
  <c r="B53" i="19"/>
  <c r="C9" i="23"/>
  <c r="D40" i="19"/>
  <c r="I70" i="1"/>
  <c r="G124" i="1"/>
  <c r="G123" i="1"/>
  <c r="G78" i="1"/>
  <c r="I78" i="1" s="1"/>
  <c r="I77" i="1"/>
  <c r="E77" i="1" l="1"/>
  <c r="F44" i="19"/>
  <c r="C124" i="1"/>
  <c r="C123" i="1"/>
  <c r="M77" i="1"/>
  <c r="K78" i="1"/>
  <c r="M78" i="1" s="1"/>
  <c r="M70" i="1"/>
  <c r="K124" i="1"/>
  <c r="B40" i="19"/>
  <c r="C40" i="19" s="1"/>
  <c r="C44" i="19" s="1"/>
  <c r="E40" i="19"/>
  <c r="E44" i="19" s="1"/>
  <c r="D44" i="19"/>
  <c r="B44" i="1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<sst xmlns="http://schemas.openxmlformats.org/spreadsheetml/2006/main" count="4937" uniqueCount="1048">
  <si>
    <t>Pounds per Material</t>
  </si>
  <si>
    <t>Macronutrients</t>
  </si>
  <si>
    <t>Nitrogen</t>
  </si>
  <si>
    <t>Phosphorus</t>
  </si>
  <si>
    <t>Potassium</t>
  </si>
  <si>
    <t>Sulfur</t>
  </si>
  <si>
    <t>Magnesium</t>
  </si>
  <si>
    <t>Calcium</t>
  </si>
  <si>
    <t>Zinc</t>
  </si>
  <si>
    <t>Boron</t>
  </si>
  <si>
    <t>Unit Size</t>
  </si>
  <si>
    <t>Units</t>
  </si>
  <si>
    <t>Units/Pkg</t>
  </si>
  <si>
    <t>None</t>
  </si>
  <si>
    <t>UAN 28% (28-0-0)</t>
  </si>
  <si>
    <t>gal</t>
  </si>
  <si>
    <t>Tons</t>
  </si>
  <si>
    <t>Ammonium polyphosphate (10-34-0)</t>
  </si>
  <si>
    <t>Urea (46-0-0)</t>
  </si>
  <si>
    <t>lbs</t>
  </si>
  <si>
    <t>Thiosul (12-0-0-26)</t>
  </si>
  <si>
    <t>DAP (18-46-0)</t>
  </si>
  <si>
    <t>AMS (21-0-0-24S)</t>
  </si>
  <si>
    <t>K-Mag (0-0-22-11Mg-21S)</t>
  </si>
  <si>
    <t>Gallons</t>
  </si>
  <si>
    <t>Gypsum (0-0-0-17S-21Ca)</t>
  </si>
  <si>
    <t>Anhydrous (82-0-0)</t>
  </si>
  <si>
    <t>Micronutrients</t>
  </si>
  <si>
    <t>Boron (14.3%)</t>
  </si>
  <si>
    <t>Pound</t>
  </si>
  <si>
    <t>Zinc (35.5%)</t>
  </si>
  <si>
    <t>qts</t>
  </si>
  <si>
    <t>Lime</t>
  </si>
  <si>
    <t>Pelleted Lime</t>
  </si>
  <si>
    <t>Ton</t>
  </si>
  <si>
    <t>Dolometic</t>
  </si>
  <si>
    <t>tons</t>
  </si>
  <si>
    <t>High Calcium</t>
  </si>
  <si>
    <t>Nitrogen Stabilizers</t>
  </si>
  <si>
    <t>N-Serve</t>
  </si>
  <si>
    <t>ozs</t>
  </si>
  <si>
    <t>Factor</t>
  </si>
  <si>
    <t>qt/ton</t>
  </si>
  <si>
    <t>Nutrisphere</t>
  </si>
  <si>
    <t>Agrotain</t>
  </si>
  <si>
    <t>Instinct</t>
  </si>
  <si>
    <t>Name</t>
  </si>
  <si>
    <t>Selling Unit</t>
  </si>
  <si>
    <t>Rate Unit</t>
  </si>
  <si>
    <t>App Unit</t>
  </si>
  <si>
    <t>qt</t>
  </si>
  <si>
    <t>2,4-D</t>
  </si>
  <si>
    <t>pt</t>
  </si>
  <si>
    <t>Gallon</t>
  </si>
  <si>
    <t>Armezon/Impact</t>
  </si>
  <si>
    <t>oz</t>
  </si>
  <si>
    <t>Ounce</t>
  </si>
  <si>
    <t>Armezon Pro</t>
  </si>
  <si>
    <t>lb</t>
  </si>
  <si>
    <t>Cadet</t>
  </si>
  <si>
    <t>Quart</t>
  </si>
  <si>
    <t>Capreno</t>
  </si>
  <si>
    <t>Corvus</t>
  </si>
  <si>
    <t>Halex GT</t>
  </si>
  <si>
    <t>Lexar EZ</t>
  </si>
  <si>
    <t>Liberty</t>
  </si>
  <si>
    <t>Lumax EZ</t>
  </si>
  <si>
    <t>Outlook</t>
  </si>
  <si>
    <t>Prowl H20</t>
  </si>
  <si>
    <t>Sharpen</t>
  </si>
  <si>
    <t>Verdict</t>
  </si>
  <si>
    <t>Warrant</t>
  </si>
  <si>
    <t>Zidua</t>
  </si>
  <si>
    <t>Ammonium Sulfate</t>
  </si>
  <si>
    <t>Priaxor</t>
  </si>
  <si>
    <t>Stratego YLD</t>
  </si>
  <si>
    <t>Corn</t>
  </si>
  <si>
    <t>Per Acre</t>
  </si>
  <si>
    <t>Loans</t>
  </si>
  <si>
    <t>Acres to Cover Loans:</t>
  </si>
  <si>
    <t>Operating</t>
  </si>
  <si>
    <t>Description</t>
  </si>
  <si>
    <t>Purchase Price</t>
  </si>
  <si>
    <t>Loan Terms (Years)</t>
  </si>
  <si>
    <t>Interest Rate</t>
  </si>
  <si>
    <t>Yearly Payment</t>
  </si>
  <si>
    <t>Interest Payment</t>
  </si>
  <si>
    <t>Interest Payment/Acre</t>
  </si>
  <si>
    <t>Yearly Payment/Acre</t>
  </si>
  <si>
    <t>Total Cost</t>
  </si>
  <si>
    <t>Capital Purchases</t>
  </si>
  <si>
    <t>Total Field</t>
  </si>
  <si>
    <t>Seed</t>
  </si>
  <si>
    <t>Fertilizer</t>
  </si>
  <si>
    <t>Custom Hire</t>
  </si>
  <si>
    <t>Driver &amp; Equipment Hire</t>
  </si>
  <si>
    <t>Equipment Hire</t>
  </si>
  <si>
    <t>Crop Insurance</t>
  </si>
  <si>
    <t>Freight &amp; Trucking</t>
  </si>
  <si>
    <t>Gas/Fuel</t>
  </si>
  <si>
    <t>Equipment Fuel</t>
  </si>
  <si>
    <t>Drying Propane</t>
  </si>
  <si>
    <t>Repairs &amp; Maintenance</t>
  </si>
  <si>
    <t>Supplies</t>
  </si>
  <si>
    <t>Storage</t>
  </si>
  <si>
    <t>Utilities</t>
  </si>
  <si>
    <t>Irrigation</t>
  </si>
  <si>
    <t>Property Taxes</t>
  </si>
  <si>
    <t>N</t>
  </si>
  <si>
    <t>P</t>
  </si>
  <si>
    <t>K</t>
  </si>
  <si>
    <t>S</t>
  </si>
  <si>
    <t>Ca</t>
  </si>
  <si>
    <t>Mg</t>
  </si>
  <si>
    <t>Z</t>
  </si>
  <si>
    <t>B</t>
  </si>
  <si>
    <t>Mn</t>
  </si>
  <si>
    <t>Brand</t>
  </si>
  <si>
    <t>Purchase Units</t>
  </si>
  <si>
    <t>Package Price (Gals, Lbs, etc.)</t>
  </si>
  <si>
    <t>Rate/Acre</t>
  </si>
  <si>
    <t>Cost</t>
  </si>
  <si>
    <t>Acres</t>
  </si>
  <si>
    <t>Fungicides</t>
  </si>
  <si>
    <t>Bushels</t>
  </si>
  <si>
    <t>Repairs</t>
  </si>
  <si>
    <t>Fuel/Electricity</t>
  </si>
  <si>
    <t>Starter Fertilizer</t>
  </si>
  <si>
    <t>Land Purchases</t>
  </si>
  <si>
    <t>Planting Rate</t>
  </si>
  <si>
    <t>Soybeans</t>
  </si>
  <si>
    <t>Wheat</t>
  </si>
  <si>
    <t>Cost/Acre</t>
  </si>
  <si>
    <t>Sugar Beets</t>
  </si>
  <si>
    <t>Alfalfa Hay</t>
  </si>
  <si>
    <t>Dry Beans</t>
  </si>
  <si>
    <t>Expected Yield</t>
  </si>
  <si>
    <t>INCOME</t>
  </si>
  <si>
    <t>CWT</t>
  </si>
  <si>
    <t>MAP (11-52-00)</t>
  </si>
  <si>
    <t>Fertilizer Source</t>
  </si>
  <si>
    <t>Side-Dress/Post-Emerge</t>
  </si>
  <si>
    <t>Total Fertilizer Cost/Acre</t>
  </si>
  <si>
    <t>Starter Fertilizer Cost/Acre</t>
  </si>
  <si>
    <t>Broadcast Fertilizer Cost/Acre</t>
  </si>
  <si>
    <t>Post-Emerge Fertilizer Cost/Acre</t>
  </si>
  <si>
    <t>(Enter Below)</t>
  </si>
  <si>
    <t>Boundary</t>
  </si>
  <si>
    <t>Optill</t>
  </si>
  <si>
    <t>Reflex</t>
  </si>
  <si>
    <t>Adjuvants</t>
  </si>
  <si>
    <t>Ammonium Sulfate (Liquid)</t>
  </si>
  <si>
    <t>Ammonium Sulfate (Replacement)</t>
  </si>
  <si>
    <t>Methylated Seed Oil (MSO)</t>
  </si>
  <si>
    <t>Crop Oil Concentrate</t>
  </si>
  <si>
    <t>Drift Agent/Spreader</t>
  </si>
  <si>
    <t>Pre-Plant/Broadcast Fertilizer</t>
  </si>
  <si>
    <t>Pre-plant/Pre-emergence Chemicals</t>
  </si>
  <si>
    <t>Pre-Plant/Pre-Emergence Chemical Cost/Acre</t>
  </si>
  <si>
    <t>Post-Emergence Chemicals</t>
  </si>
  <si>
    <t>Total Chemical Cost/Acre</t>
  </si>
  <si>
    <t>Insecticides</t>
  </si>
  <si>
    <t>Insecticide (pint rate)</t>
  </si>
  <si>
    <t>Insecticide (ounce rate)</t>
  </si>
  <si>
    <t>Insecticide (pound rate)</t>
  </si>
  <si>
    <t>Insecticide (quart rate)</t>
  </si>
  <si>
    <t>Post-Emergence Chemicals Cost/Acre</t>
  </si>
  <si>
    <t>Atrazine (Liquid)</t>
  </si>
  <si>
    <t>Atrazine (Dry)</t>
  </si>
  <si>
    <t>Balance Flexx</t>
  </si>
  <si>
    <t>Breakfree NXT/Harness/Surpass NXT</t>
  </si>
  <si>
    <t>Callisto</t>
  </si>
  <si>
    <t>Dual II Magnum/Cinch/Parallel</t>
  </si>
  <si>
    <t>Princep</t>
  </si>
  <si>
    <t>Python/Accolade</t>
  </si>
  <si>
    <t>Resolve SG</t>
  </si>
  <si>
    <t>Valor/Rowell</t>
  </si>
  <si>
    <t>Acuron</t>
  </si>
  <si>
    <t>Acuron Flex</t>
  </si>
  <si>
    <t>Anthem Maxx</t>
  </si>
  <si>
    <t>Anthem ATZ</t>
  </si>
  <si>
    <t>Basis Blend</t>
  </si>
  <si>
    <t>Bicip II Magnum/Cinch ATZ/Parallel Plus</t>
  </si>
  <si>
    <t>Breakfree NXT Lite/Degree XTRA/Fultime NXT/Keystone LA NXT</t>
  </si>
  <si>
    <t>Breakfree NXT ATZ/Harness XTRA/Keystone NXT</t>
  </si>
  <si>
    <t>Fierce</t>
  </si>
  <si>
    <t>Harness Max</t>
  </si>
  <si>
    <t>Hornet WDG/Stanza</t>
  </si>
  <si>
    <t>Instigate</t>
  </si>
  <si>
    <t>Prequel</t>
  </si>
  <si>
    <t>Soil Premix</t>
  </si>
  <si>
    <t>Soil</t>
  </si>
  <si>
    <t>Resicore</t>
  </si>
  <si>
    <t>Surestart II/TripleFlex II</t>
  </si>
  <si>
    <t>Zemax</t>
  </si>
  <si>
    <t>Post</t>
  </si>
  <si>
    <t>Accent Q</t>
  </si>
  <si>
    <t>Aim</t>
  </si>
  <si>
    <t>Banvel/Clarity</t>
  </si>
  <si>
    <t>Basagran/Broadloom</t>
  </si>
  <si>
    <t>Beacon</t>
  </si>
  <si>
    <t>Buctril/Moxy</t>
  </si>
  <si>
    <t>DiFlexx</t>
  </si>
  <si>
    <t>Laudis</t>
  </si>
  <si>
    <t>Permit</t>
  </si>
  <si>
    <t>Resource</t>
  </si>
  <si>
    <t>Stinger</t>
  </si>
  <si>
    <t>Callisto XTRA</t>
  </si>
  <si>
    <t>DiFlexx Duo</t>
  </si>
  <si>
    <t>Realm Q</t>
  </si>
  <si>
    <t>Resolve Q</t>
  </si>
  <si>
    <t>Revulin Q</t>
  </si>
  <si>
    <t>Solstice</t>
  </si>
  <si>
    <t>Status</t>
  </si>
  <si>
    <t>Steadfast Q</t>
  </si>
  <si>
    <t>Yukon</t>
  </si>
  <si>
    <t>Callisto GT</t>
  </si>
  <si>
    <t>Expert</t>
  </si>
  <si>
    <t>Sequence</t>
  </si>
  <si>
    <t>Timing</t>
  </si>
  <si>
    <t>Site of Action</t>
  </si>
  <si>
    <t>Post Pre-Mix</t>
  </si>
  <si>
    <t>Glyphosate</t>
  </si>
  <si>
    <t>14/15</t>
  </si>
  <si>
    <t>15/14/5</t>
  </si>
  <si>
    <t>15/27</t>
  </si>
  <si>
    <t>5/27</t>
  </si>
  <si>
    <t>2/27</t>
  </si>
  <si>
    <t>4/27</t>
  </si>
  <si>
    <t>2/4</t>
  </si>
  <si>
    <t>9/27</t>
  </si>
  <si>
    <t>5/9/15</t>
  </si>
  <si>
    <t>9/15/27</t>
  </si>
  <si>
    <t>2/2</t>
  </si>
  <si>
    <t>9/15</t>
  </si>
  <si>
    <t>14/27</t>
  </si>
  <si>
    <t>4/19</t>
  </si>
  <si>
    <t>5</t>
  </si>
  <si>
    <t>27</t>
  </si>
  <si>
    <t>15</t>
  </si>
  <si>
    <t>3</t>
  </si>
  <si>
    <t>2</t>
  </si>
  <si>
    <t>14</t>
  </si>
  <si>
    <t>9</t>
  </si>
  <si>
    <t>5/15/27/27</t>
  </si>
  <si>
    <t>15/27/27</t>
  </si>
  <si>
    <t>15/14</t>
  </si>
  <si>
    <t>5/15</t>
  </si>
  <si>
    <t>Bicip II Magnum Lite/Cinch ATZ Lite</t>
  </si>
  <si>
    <t>5/27/15</t>
  </si>
  <si>
    <t>4/15/27</t>
  </si>
  <si>
    <t>2/4/15</t>
  </si>
  <si>
    <t>27/15</t>
  </si>
  <si>
    <t>Enlist One</t>
  </si>
  <si>
    <t>Enlist Duo</t>
  </si>
  <si>
    <t>4</t>
  </si>
  <si>
    <t>4/9</t>
  </si>
  <si>
    <t>6</t>
  </si>
  <si>
    <t>Total Fertilizer Program</t>
  </si>
  <si>
    <t>Mag</t>
  </si>
  <si>
    <t>(Pounds of Actual Nutrient Per Acre)</t>
  </si>
  <si>
    <t>Adjuvant Help Guide</t>
  </si>
  <si>
    <t>Gallons Per Acre</t>
  </si>
  <si>
    <t>Gallons in Tank</t>
  </si>
  <si>
    <t>=Acres/Tank</t>
  </si>
  <si>
    <t>ounces</t>
  </si>
  <si>
    <t>pints</t>
  </si>
  <si>
    <t>Rate Per Tank (lb)</t>
  </si>
  <si>
    <t>Acres/Tank</t>
  </si>
  <si>
    <t>=Rate/Acre</t>
  </si>
  <si>
    <t>Pounds</t>
  </si>
  <si>
    <t xml:space="preserve">v/v % = </t>
  </si>
  <si>
    <t>[(volume of solute)/</t>
  </si>
  <si>
    <t>(volume of solution)]</t>
  </si>
  <si>
    <t xml:space="preserve"> x 100%</t>
  </si>
  <si>
    <t>=</t>
  </si>
  <si>
    <t>1 pint</t>
  </si>
  <si>
    <t>Rate Per Tank (oz)</t>
  </si>
  <si>
    <t>1 quart</t>
  </si>
  <si>
    <t>2 quarts</t>
  </si>
  <si>
    <t>1 gallon</t>
  </si>
  <si>
    <t>Rate Per Tank (pt)</t>
  </si>
  <si>
    <t>Adjuvant (ounces)</t>
  </si>
  <si>
    <t>Adjuvant (pounds)</t>
  </si>
  <si>
    <t>Adjuvant (pints)</t>
  </si>
  <si>
    <t>(for quarts, multiply by 2)</t>
  </si>
  <si>
    <t>Fungicide Cost/Acre</t>
  </si>
  <si>
    <t>Insecticide Cost/Acre</t>
  </si>
  <si>
    <t>1)</t>
  </si>
  <si>
    <t>Each TAB represents a different expense area for the given farm operation.  Click on a TAB to enter specific expense (or income) information.</t>
  </si>
  <si>
    <t>These include:</t>
  </si>
  <si>
    <t>2)</t>
  </si>
  <si>
    <t>Choose the fertilizer from the drop-down menu and enter product/acre to be used.  (i.e. 100lbs/acre of 9-23-30 = 50lbs 18-46-0 &amp; 50lbs 0-0-62lbs)</t>
  </si>
  <si>
    <t>Custom Application</t>
  </si>
  <si>
    <t>Corn Acres</t>
  </si>
  <si>
    <t>Soybean Acres</t>
  </si>
  <si>
    <t>Wheat Acres</t>
  </si>
  <si>
    <t>Land Rent</t>
  </si>
  <si>
    <t>Each crop has its own tab (i.e. Fertilizer - Corn)</t>
  </si>
  <si>
    <t>Input Operating Credits, Capital Purchases (i.e. equipment or livestock), or Land/Buildings.</t>
  </si>
  <si>
    <t>Rate Units</t>
  </si>
  <si>
    <t>Fungicide &amp; Insecticide Chemicals</t>
  </si>
  <si>
    <t>Total Corn Cost</t>
  </si>
  <si>
    <t>Total Soybean Cost</t>
  </si>
  <si>
    <t>Total Wheat Cost</t>
  </si>
  <si>
    <t>Command 3ME</t>
  </si>
  <si>
    <t>13</t>
  </si>
  <si>
    <t>Dual Magnum/Everprex/Parallel</t>
  </si>
  <si>
    <t>Firstrate</t>
  </si>
  <si>
    <t>Lorox/Linex</t>
  </si>
  <si>
    <t>7</t>
  </si>
  <si>
    <t>Metribuzin</t>
  </si>
  <si>
    <t>Prowl H20/Prowl</t>
  </si>
  <si>
    <t>Sonalan (PPI Only)</t>
  </si>
  <si>
    <t>Spartan</t>
  </si>
  <si>
    <t>Trifluralin (PPI Only)</t>
  </si>
  <si>
    <t>Valor/Valor EZ/Rowel</t>
  </si>
  <si>
    <t>Afforia</t>
  </si>
  <si>
    <t>2/2/14</t>
  </si>
  <si>
    <t>Authority Assist</t>
  </si>
  <si>
    <t>2/14</t>
  </si>
  <si>
    <t>Authority First/Sonic</t>
  </si>
  <si>
    <t>Authority Maxx</t>
  </si>
  <si>
    <t>Authority MTZ</t>
  </si>
  <si>
    <t>5/14</t>
  </si>
  <si>
    <t>Authority XL</t>
  </si>
  <si>
    <t>Canopy/Canopy Blend</t>
  </si>
  <si>
    <t>Envive</t>
  </si>
  <si>
    <t>Fierce XLT</t>
  </si>
  <si>
    <t>2/14/15</t>
  </si>
  <si>
    <t>Flexstar GT 3.5</t>
  </si>
  <si>
    <t>9/14</t>
  </si>
  <si>
    <t>Prefix</t>
  </si>
  <si>
    <t>Spartan Charge</t>
  </si>
  <si>
    <t>14/14</t>
  </si>
  <si>
    <t>Surveil</t>
  </si>
  <si>
    <t>Synchrony XP</t>
  </si>
  <si>
    <t>Trivence</t>
  </si>
  <si>
    <t>2/5/14</t>
  </si>
  <si>
    <t>Valor XLT/Rowl FX</t>
  </si>
  <si>
    <t>Warrant Ultra</t>
  </si>
  <si>
    <t>Zidua Pro</t>
  </si>
  <si>
    <t>Assure II/Targa</t>
  </si>
  <si>
    <t>Classic</t>
  </si>
  <si>
    <t>Cobra</t>
  </si>
  <si>
    <t>Flexstar</t>
  </si>
  <si>
    <t>Fusilade DX</t>
  </si>
  <si>
    <t>Fusion</t>
  </si>
  <si>
    <t>Harmony SG</t>
  </si>
  <si>
    <t>Marvel</t>
  </si>
  <si>
    <t>Phoenix</t>
  </si>
  <si>
    <t>Poast/Poast Plus</t>
  </si>
  <si>
    <t>Pursuit</t>
  </si>
  <si>
    <t>Raptor</t>
  </si>
  <si>
    <t>Select Max/Arrow/Select</t>
  </si>
  <si>
    <t>Ultra Blazer</t>
  </si>
  <si>
    <t>Cheetah Max</t>
  </si>
  <si>
    <t>Engenia</t>
  </si>
  <si>
    <t>Xtendimax/Fexapan</t>
  </si>
  <si>
    <t>10</t>
  </si>
  <si>
    <t>10/14</t>
  </si>
  <si>
    <t>2,4-D Amine</t>
  </si>
  <si>
    <t>2,4-D Ester</t>
  </si>
  <si>
    <t>Affinity Broadspec</t>
  </si>
  <si>
    <t>Axial XL</t>
  </si>
  <si>
    <t>Curtail</t>
  </si>
  <si>
    <t>Express</t>
  </si>
  <si>
    <t>Harmony</t>
  </si>
  <si>
    <t>Harmony Extra</t>
  </si>
  <si>
    <t>Huskie</t>
  </si>
  <si>
    <t>MCPA</t>
  </si>
  <si>
    <t>Nimble</t>
  </si>
  <si>
    <t>Osprey</t>
  </si>
  <si>
    <t>Peak</t>
  </si>
  <si>
    <t>Powerflex HL</t>
  </si>
  <si>
    <t>Puma</t>
  </si>
  <si>
    <t>Quelex</t>
  </si>
  <si>
    <t>Starane Ultra</t>
  </si>
  <si>
    <t>Talinor</t>
  </si>
  <si>
    <t>Widematch</t>
  </si>
  <si>
    <t>1</t>
  </si>
  <si>
    <t>4/4</t>
  </si>
  <si>
    <t>6/27</t>
  </si>
  <si>
    <t>Wheat Chemicals</t>
  </si>
  <si>
    <t>Owner Withdrawal</t>
  </si>
  <si>
    <t>Direct &amp; Overhead Expenses</t>
  </si>
  <si>
    <t>Corn Unit Price (i.e. Bag)</t>
  </si>
  <si>
    <t>Soybean Unit Price (i.e. Bag)</t>
  </si>
  <si>
    <t>Wheat Unit Price (i.e. Bag)</t>
  </si>
  <si>
    <t>Seed Purchases</t>
  </si>
  <si>
    <t>Total Labor</t>
  </si>
  <si>
    <t>Principal</t>
  </si>
  <si>
    <t>Financing by Crop</t>
  </si>
  <si>
    <t>Intermediate Interest Exp.</t>
  </si>
  <si>
    <t>Operating Interest Exp.</t>
  </si>
  <si>
    <t>Intermediate Principal</t>
  </si>
  <si>
    <t>Long-Term Interest Exp.</t>
  </si>
  <si>
    <t>Long-Term Principal</t>
  </si>
  <si>
    <t>Corn Cost (total)</t>
  </si>
  <si>
    <t>Soybean Cost (total)</t>
  </si>
  <si>
    <t>Wheat Cost (total)</t>
  </si>
  <si>
    <t>Corn Cost (acre)</t>
  </si>
  <si>
    <t>Soybean Cost (acre)</t>
  </si>
  <si>
    <t>Wheat Cost (acre)</t>
  </si>
  <si>
    <t>Interest</t>
  </si>
  <si>
    <t>OPERATING EXPENSE RATIO</t>
  </si>
  <si>
    <t>Adjuvant rates are based on gallons of water/acre.  The help guide will assist in calculating the rate/acre needed for the Chemical tab.</t>
  </si>
  <si>
    <t>Financial Scorecard</t>
  </si>
  <si>
    <t>60 - 80%</t>
  </si>
  <si>
    <t>80 - 100%</t>
  </si>
  <si>
    <t>Use the Rate/Acre information on the Chemicals expense Tab</t>
  </si>
  <si>
    <r>
      <t xml:space="preserve">Only items that are colored in </t>
    </r>
    <r>
      <rPr>
        <b/>
        <sz val="12"/>
        <color theme="4" tint="-0.249977111117893"/>
        <rFont val="Calibri"/>
        <family val="2"/>
        <scheme val="minor"/>
      </rPr>
      <t>BLUE</t>
    </r>
    <r>
      <rPr>
        <b/>
        <sz val="12"/>
        <color theme="1"/>
        <rFont val="Calibri"/>
        <family val="2"/>
        <scheme val="minor"/>
      </rPr>
      <t xml:space="preserve"> should be altered in each TAB.  Changing the value of an item not marked </t>
    </r>
    <r>
      <rPr>
        <b/>
        <sz val="12"/>
        <color theme="4" tint="-0.249977111117893"/>
        <rFont val="Calibri"/>
        <family val="2"/>
        <scheme val="minor"/>
      </rPr>
      <t>BLUE</t>
    </r>
    <r>
      <rPr>
        <b/>
        <sz val="12"/>
        <color theme="1"/>
        <rFont val="Calibri"/>
        <family val="2"/>
        <scheme val="minor"/>
      </rPr>
      <t xml:space="preserve"> can cause the formulas in the spreadsheet to stop working.</t>
    </r>
  </si>
  <si>
    <t>Michigan State University Extension</t>
  </si>
  <si>
    <t>Template by: Jon LaPorte, Farm Management Educator</t>
  </si>
  <si>
    <r>
      <t xml:space="preserve">Herbicides </t>
    </r>
    <r>
      <rPr>
        <b/>
        <i/>
        <sz val="10"/>
        <color theme="4" tint="-0.249977111117893"/>
        <rFont val="Calibri"/>
        <family val="2"/>
        <scheme val="minor"/>
      </rPr>
      <t>(drop down menu)</t>
    </r>
  </si>
  <si>
    <r>
      <t xml:space="preserve">Adjuvants </t>
    </r>
    <r>
      <rPr>
        <b/>
        <i/>
        <sz val="10"/>
        <color theme="4" tint="-0.249977111117893"/>
        <rFont val="Calibri"/>
        <family val="2"/>
        <scheme val="minor"/>
      </rPr>
      <t>(drop down menu)</t>
    </r>
  </si>
  <si>
    <r>
      <t xml:space="preserve">Fungicides </t>
    </r>
    <r>
      <rPr>
        <b/>
        <i/>
        <sz val="10"/>
        <color theme="4" tint="-0.249977111117893"/>
        <rFont val="Calibri"/>
        <family val="2"/>
        <scheme val="minor"/>
      </rPr>
      <t>(drop down menu)</t>
    </r>
  </si>
  <si>
    <r>
      <t xml:space="preserve">Insecticides </t>
    </r>
    <r>
      <rPr>
        <b/>
        <i/>
        <sz val="10"/>
        <color theme="4" tint="-0.249977111117893"/>
        <rFont val="Calibri"/>
        <family val="2"/>
        <scheme val="minor"/>
      </rPr>
      <t>(drop down menu)</t>
    </r>
  </si>
  <si>
    <t>Nutrients Provided by Fertilizer Plan</t>
  </si>
  <si>
    <t>Crop Miscellaneous</t>
  </si>
  <si>
    <t>Repair, Machinery</t>
  </si>
  <si>
    <t>Repair, Buildings</t>
  </si>
  <si>
    <t>Farm Insurance</t>
  </si>
  <si>
    <t>Crop Chemicals</t>
  </si>
  <si>
    <t>Cash Price</t>
  </si>
  <si>
    <t>Seeds/lb</t>
  </si>
  <si>
    <t>Herbicides</t>
  </si>
  <si>
    <t>For example: $15,000 fuel pre-paid for 2018 + $5,000 fuel purchased in 2018 - $10,000 fuel pre-paid for 2019 = $10,000 accrued expense</t>
  </si>
  <si>
    <t>¯</t>
  </si>
  <si>
    <t>More</t>
  </si>
  <si>
    <t>Below</t>
  </si>
  <si>
    <t>Zinc Liquid (12-0-0-12zn)</t>
  </si>
  <si>
    <t>Boron Liquid (0-0-0-10B)</t>
  </si>
  <si>
    <t>Aproach SC</t>
  </si>
  <si>
    <t>Headline SC</t>
  </si>
  <si>
    <t>Evito SC</t>
  </si>
  <si>
    <t>Caramba 0.75 SL</t>
  </si>
  <si>
    <t>Folicur 3.6 F</t>
  </si>
  <si>
    <t>Proline 480 SC</t>
  </si>
  <si>
    <t>Prosaro 421 SC</t>
  </si>
  <si>
    <t>Tilt 3.6 EC</t>
  </si>
  <si>
    <t>Absolute Maxx SC</t>
  </si>
  <si>
    <t>Aproach Prima SC</t>
  </si>
  <si>
    <t>Delaro 325 SC</t>
  </si>
  <si>
    <t>Nexicor EC</t>
  </si>
  <si>
    <t>Preemptor SC</t>
  </si>
  <si>
    <t>Quilt Xcel 2.2 SE</t>
  </si>
  <si>
    <t>Trivapro SE</t>
  </si>
  <si>
    <t>Wheat Fungicides</t>
  </si>
  <si>
    <t>Soybean Fungicides</t>
  </si>
  <si>
    <t>Corn Fungicides</t>
  </si>
  <si>
    <t>Quadris 2.08 SC</t>
  </si>
  <si>
    <t>Headline 2.09 EC/SC</t>
  </si>
  <si>
    <t>Aproach 2.08 SC</t>
  </si>
  <si>
    <t>Domark 230 ME</t>
  </si>
  <si>
    <t>Trivapro A 0.83 + Trivapro B 2.2 SE</t>
  </si>
  <si>
    <t>Aproach Prima 2.34 SC</t>
  </si>
  <si>
    <t>Fortix/Preemptor 3.22 SC</t>
  </si>
  <si>
    <t>Priaxor 4.17 SC</t>
  </si>
  <si>
    <t>Headline AMP 1.68 SC</t>
  </si>
  <si>
    <t>Stratego  YLD 4.18 SC</t>
  </si>
  <si>
    <t>Affiance 1.5 SC</t>
  </si>
  <si>
    <t>Total depreciation</t>
  </si>
  <si>
    <t>Machinery and equipment</t>
  </si>
  <si>
    <t>Titled vehicles</t>
  </si>
  <si>
    <t>Buildings and improvement</t>
  </si>
  <si>
    <t>Purchases</t>
  </si>
  <si>
    <t>Sales</t>
  </si>
  <si>
    <t>Total Depreciation</t>
  </si>
  <si>
    <t>Income Taxes</t>
  </si>
  <si>
    <t>Principal Payment</t>
  </si>
  <si>
    <t>Total Acres</t>
  </si>
  <si>
    <t>Gross Revenue</t>
  </si>
  <si>
    <t>Total Gross Revenue</t>
  </si>
  <si>
    <r>
      <t xml:space="preserve">NOTE: </t>
    </r>
    <r>
      <rPr>
        <sz val="12"/>
        <color theme="1"/>
        <rFont val="Calibri"/>
        <family val="2"/>
        <scheme val="minor"/>
      </rPr>
      <t>Includes an in-depth assessment of nutrients provided at each application of the farm's fertilizer program.</t>
    </r>
  </si>
  <si>
    <r>
      <t xml:space="preserve">NOTE: </t>
    </r>
    <r>
      <rPr>
        <sz val="12"/>
        <color theme="1"/>
        <rFont val="Calibri"/>
        <family val="2"/>
        <scheme val="minor"/>
      </rPr>
      <t>Includes an in-depth comparison of crop nutrient removal vs. nutrients provided by the farm's fertilizer program.</t>
    </r>
  </si>
  <si>
    <r>
      <t xml:space="preserve">NOTE: </t>
    </r>
    <r>
      <rPr>
        <sz val="12"/>
        <color theme="1"/>
        <rFont val="Calibri"/>
        <family val="2"/>
        <scheme val="minor"/>
      </rPr>
      <t>Includes a quick guide to Sites-of-Action used by the farm's chemical program for evaluating weed resistance management.</t>
    </r>
  </si>
  <si>
    <t>Crop Estimating Tool (Detailed Budget)</t>
  </si>
  <si>
    <t>Link to MSU Weed Control Guide</t>
  </si>
  <si>
    <t>CORN</t>
  </si>
  <si>
    <t>SOYBEAN</t>
  </si>
  <si>
    <t>WHEAT</t>
  </si>
  <si>
    <t>See "Loans &amp; Financing (Detailed)" tab for Interest Expense</t>
  </si>
  <si>
    <t>Asana XL</t>
  </si>
  <si>
    <t>Baythroid XL</t>
  </si>
  <si>
    <t>Brigade 2EC</t>
  </si>
  <si>
    <t>Carbaryl 4L</t>
  </si>
  <si>
    <t>Intrepid 2F</t>
  </si>
  <si>
    <t>Leverage 360</t>
  </si>
  <si>
    <t>Orthene 97</t>
  </si>
  <si>
    <t>Proaxis</t>
  </si>
  <si>
    <t>Radiant SC</t>
  </si>
  <si>
    <t>Silencer</t>
  </si>
  <si>
    <t>Tracer</t>
  </si>
  <si>
    <t>Soybean Insecticides</t>
  </si>
  <si>
    <t>Lannate LV</t>
  </si>
  <si>
    <t xml:space="preserve">Choose the Herbicide/Adjuvant being used in the drop-down menu.  </t>
  </si>
  <si>
    <t>Insecticides &amp; Fungicides are also included further down this page.</t>
  </si>
  <si>
    <t>Rate/Acre and price paid per package (i.e. $$/Gallon) need to be input manually.</t>
  </si>
  <si>
    <t>-</t>
  </si>
  <si>
    <t>For more information on Herbicides, see the MSU Weed Control Guide</t>
  </si>
  <si>
    <t>Additional Resources:</t>
  </si>
  <si>
    <r>
      <t xml:space="preserve">NOTE: </t>
    </r>
    <r>
      <rPr>
        <sz val="12"/>
        <color theme="1"/>
        <rFont val="Calibri"/>
        <family val="2"/>
        <scheme val="minor"/>
      </rPr>
      <t>Includes links to the MSU Weed Control Guide &amp; MSU Bulletin E-1581 (Insecticide Recommendations)</t>
    </r>
  </si>
  <si>
    <t xml:space="preserve">For more information on Fertilizer Recommendations, see: </t>
  </si>
  <si>
    <t>MSU Bulletin E-2904, Nutrient Recommendations for Field Crops in Michigan</t>
  </si>
  <si>
    <t>Repayment Capacity (Cash Flow) Break-even</t>
  </si>
  <si>
    <t>Break-even $$/Bushel</t>
  </si>
  <si>
    <t xml:space="preserve">Break-even Yield/Acre </t>
  </si>
  <si>
    <t>Depreciation Calculator</t>
  </si>
  <si>
    <t>Break-Even Calculations</t>
  </si>
  <si>
    <t>Fertility Program</t>
  </si>
  <si>
    <t>Beginning Year Value</t>
  </si>
  <si>
    <t>Depreciation Rate</t>
  </si>
  <si>
    <t>Phone: (269) 445-4356          Email: laportej@msu.edu</t>
  </si>
  <si>
    <t>Total</t>
  </si>
  <si>
    <t>Corn Cost</t>
  </si>
  <si>
    <t>Soybean Cost</t>
  </si>
  <si>
    <t>Wheat Cost</t>
  </si>
  <si>
    <t>Expenses</t>
  </si>
  <si>
    <t>To adjust for Nitrogen Credits, reference:</t>
  </si>
  <si>
    <t>Crop Budget</t>
  </si>
  <si>
    <t>Use the tabs listed below to evaluate a more accurate and detailed plan for the farm.</t>
  </si>
  <si>
    <t>Chemical Plan</t>
  </si>
  <si>
    <t>Fertilizer Plan</t>
  </si>
  <si>
    <t>Loans &amp; Financing</t>
  </si>
  <si>
    <t>Hired Labor</t>
  </si>
  <si>
    <t>Other</t>
  </si>
  <si>
    <t>Marketing</t>
  </si>
  <si>
    <r>
      <t xml:space="preserve">Interest </t>
    </r>
    <r>
      <rPr>
        <sz val="10"/>
        <color theme="1"/>
        <rFont val="Calibri"/>
        <family val="2"/>
        <scheme val="minor"/>
      </rPr>
      <t>(Operating)</t>
    </r>
  </si>
  <si>
    <r>
      <t>Interest</t>
    </r>
    <r>
      <rPr>
        <sz val="10"/>
        <color theme="1"/>
        <rFont val="Calibri"/>
        <family val="2"/>
        <scheme val="minor"/>
      </rPr>
      <t xml:space="preserve"> (Term)</t>
    </r>
  </si>
  <si>
    <t>After Soybeans</t>
  </si>
  <si>
    <t>After Corn</t>
  </si>
  <si>
    <t>After Wheat</t>
  </si>
  <si>
    <t>(drop down menu) -&gt;</t>
  </si>
  <si>
    <t>Drop Down Menu</t>
  </si>
  <si>
    <t>EXPENSE</t>
  </si>
  <si>
    <t>Real Estate Taxes</t>
  </si>
  <si>
    <t>Value of Unpaid Labor &amp; Management</t>
  </si>
  <si>
    <t>Labor &amp; Management</t>
  </si>
  <si>
    <t>Value of Farm Production (VFP)</t>
  </si>
  <si>
    <t>VFP + (Unpaid Labor Hours X Hourly Rate)</t>
  </si>
  <si>
    <t>Unpaid Labor</t>
  </si>
  <si>
    <t>Hourly Rate</t>
  </si>
  <si>
    <t>Value of Unpaid Labor &amp; Management Per Crop</t>
  </si>
  <si>
    <t>Value of Unpaid Equity Capital</t>
  </si>
  <si>
    <t>Economic Overhead</t>
  </si>
  <si>
    <t>Total Economic Overhead</t>
  </si>
  <si>
    <t>Total Economic Cost of Production</t>
  </si>
  <si>
    <t>Equity Capital</t>
  </si>
  <si>
    <t>Net Worth (From Balance Sheet)</t>
  </si>
  <si>
    <t>Opportunity Cost (Percentage Rate of Return)</t>
  </si>
  <si>
    <t>Economic (Profit) Break-even</t>
  </si>
  <si>
    <t>Value of Farm Production</t>
  </si>
  <si>
    <t>Unpaid Labor &amp; Management is the value of how much the Farm Manager/Operator is worth to the business (i.e. $40,000)</t>
  </si>
  <si>
    <t>This tab contains the Depreciation, Income Tax, Owner Withdrawal, Unpaid Equity Capital, and Unpaid Labor Management expenses</t>
  </si>
  <si>
    <t>Allocation based on Crop Triggering Payment</t>
  </si>
  <si>
    <t>Government Payments</t>
  </si>
  <si>
    <t>Total Payment =</t>
  </si>
  <si>
    <t>Additional Government Payments</t>
  </si>
  <si>
    <t>(i.e. CRP, CREP, EQIP, etc.)</t>
  </si>
  <si>
    <t>Total Government Payments</t>
  </si>
  <si>
    <t>Depreciation Value</t>
  </si>
  <si>
    <t>(Beginning Year Value + Purchases - Sales) x Depreciation Rate</t>
  </si>
  <si>
    <t>Corn (acre)</t>
  </si>
  <si>
    <t>Soybean (acre)</t>
  </si>
  <si>
    <t>Wheat (acre)</t>
  </si>
  <si>
    <t>Corn (total)</t>
  </si>
  <si>
    <t>Soybean (total)</t>
  </si>
  <si>
    <t>Wheat (total)</t>
  </si>
  <si>
    <t>After Sugar Beets</t>
  </si>
  <si>
    <t>After Dry Beans</t>
  </si>
  <si>
    <t>After Alfalfa</t>
  </si>
  <si>
    <t>Crop Budget Estimator</t>
  </si>
  <si>
    <t>Economic Profitability</t>
  </si>
  <si>
    <t>Cash Flow</t>
  </si>
  <si>
    <r>
      <t>Economic Profit</t>
    </r>
    <r>
      <rPr>
        <i/>
        <sz val="12"/>
        <color rgb="FF18453B"/>
        <rFont val="Calibri"/>
        <family val="2"/>
        <scheme val="minor"/>
      </rPr>
      <t xml:space="preserve"> </t>
    </r>
    <r>
      <rPr>
        <i/>
        <sz val="10"/>
        <color rgb="FF18453B"/>
        <rFont val="Calibri"/>
        <family val="2"/>
        <scheme val="minor"/>
      </rPr>
      <t>(Net Cash Flow - Unpaid Labor &amp; Equity)</t>
    </r>
  </si>
  <si>
    <t>DEPRECIATION EXPENSE RATIO</t>
  </si>
  <si>
    <t>INTEREST EXPENSE RATIO</t>
  </si>
  <si>
    <t>NET FARM INCOME RATIO</t>
  </si>
  <si>
    <t>5 - 10%</t>
  </si>
  <si>
    <t>10% - over</t>
  </si>
  <si>
    <t>10 - 20%</t>
  </si>
  <si>
    <t>20% - over</t>
  </si>
  <si>
    <t>Net Cash Flow</t>
  </si>
  <si>
    <t>Impacts of Opportunity Costs (Labor &amp; Mgmt/Equity Capital)</t>
  </si>
  <si>
    <t>Total Economic Profit</t>
  </si>
  <si>
    <t>/Bushel</t>
  </si>
  <si>
    <t>*Note: these four ratios add up to 100%</t>
  </si>
  <si>
    <t>ImpactZ</t>
  </si>
  <si>
    <t>Tripzin ZC</t>
  </si>
  <si>
    <t>3/5</t>
  </si>
  <si>
    <t>Authority Elite/Broadaxe XC</t>
  </si>
  <si>
    <t>Authority Supreme</t>
  </si>
  <si>
    <t>Moccasin MITZ</t>
  </si>
  <si>
    <t>https://www.extension.purdue.edu/extmedia/BP/BP-160-W.pdf</t>
  </si>
  <si>
    <t>https://www.canr.msu.edu/uploads/files/AABI/Soybean_Fungicide_efficacy_table_2018_final_MC.pdf</t>
  </si>
  <si>
    <t>ARC/PLC Payments</t>
  </si>
  <si>
    <t>Straight Allocation of ARC/PLC</t>
  </si>
  <si>
    <t>Sugar Beet Lime</t>
  </si>
  <si>
    <t>Crop Insurance Indemnity Payments</t>
  </si>
  <si>
    <t>Total Insurance Payments</t>
  </si>
  <si>
    <t>&lt;=</t>
  </si>
  <si>
    <t>Minimum corn acres</t>
  </si>
  <si>
    <t>&gt;=</t>
  </si>
  <si>
    <t>Minimum soybean acres</t>
  </si>
  <si>
    <t>Minimum wheat acres</t>
  </si>
  <si>
    <t>Revenue Per Acre</t>
  </si>
  <si>
    <t>Budget Acres</t>
  </si>
  <si>
    <t>Optimization</t>
  </si>
  <si>
    <t>Total Direct &amp; Overhead Cost</t>
  </si>
  <si>
    <t>Optimizing Profitability</t>
  </si>
  <si>
    <t>Optimization Instructions</t>
  </si>
  <si>
    <t>Minimum Costs to Cover</t>
  </si>
  <si>
    <t xml:space="preserve">3. Enter the minimum goal of acres for each crop in column E.  </t>
  </si>
  <si>
    <t>4. Enter the total acres to be planted across all crops in column E.</t>
  </si>
  <si>
    <t>Variable</t>
  </si>
  <si>
    <t>Fixed</t>
  </si>
  <si>
    <t>Variable &amp; Fixed</t>
  </si>
  <si>
    <t>Other (variable)</t>
  </si>
  <si>
    <t>Other (fixed)</t>
  </si>
  <si>
    <t>Cost Comparison Charts</t>
  </si>
  <si>
    <r>
      <t>Depreciation</t>
    </r>
    <r>
      <rPr>
        <sz val="10"/>
        <color theme="1"/>
        <rFont val="Calibri"/>
        <family val="2"/>
        <scheme val="minor"/>
      </rPr>
      <t xml:space="preserve"> (Economic )</t>
    </r>
  </si>
  <si>
    <r>
      <t xml:space="preserve">Interest </t>
    </r>
    <r>
      <rPr>
        <sz val="10"/>
        <color theme="1"/>
        <rFont val="Calibri"/>
        <family val="2"/>
        <scheme val="minor"/>
      </rPr>
      <t>(Oper &amp; Term)</t>
    </r>
  </si>
  <si>
    <r>
      <t xml:space="preserve">Other </t>
    </r>
    <r>
      <rPr>
        <sz val="10"/>
        <color theme="1"/>
        <rFont val="Calibri"/>
        <family val="2"/>
        <scheme val="minor"/>
      </rPr>
      <t>(variable &amp; fixed)</t>
    </r>
  </si>
  <si>
    <t>This tab contains an optimization tool that will outline what combination of acres (i.e. corn, soybeans, wheat) will provide the maximum profitability based on the budget information provided on the other tabs.</t>
  </si>
  <si>
    <t>MESZ (12-40-0-10S-1Z)</t>
  </si>
  <si>
    <t>120 N. Broadway, Suite 116, Cassopolis, MI 49031</t>
  </si>
  <si>
    <t>Triple Superphosphate (0-46-0)</t>
  </si>
  <si>
    <t>Potassium Sulphate (0-0-52-18S)</t>
  </si>
  <si>
    <t>9-18-9 (liquid)</t>
  </si>
  <si>
    <t>19-19-19 (dry)</t>
  </si>
  <si>
    <t>15-15-2 (liquid)</t>
  </si>
  <si>
    <t>15-15-15 (dry)</t>
  </si>
  <si>
    <t>12-24-24 (dry)</t>
  </si>
  <si>
    <t>5-10-5 (dry)</t>
  </si>
  <si>
    <t>10-10-10 (dry)</t>
  </si>
  <si>
    <t>6-12-12 (dry)</t>
  </si>
  <si>
    <r>
      <rPr>
        <sz val="12"/>
        <color theme="1"/>
        <rFont val="Symbol"/>
        <family val="1"/>
        <charset val="2"/>
      </rPr>
      <t>¬</t>
    </r>
    <r>
      <rPr>
        <sz val="12"/>
        <color theme="1"/>
        <rFont val="Calibri"/>
        <family val="2"/>
      </rPr>
      <t xml:space="preserve"> </t>
    </r>
    <r>
      <rPr>
        <sz val="12"/>
        <color theme="1"/>
        <rFont val="Calibri"/>
        <family val="2"/>
        <scheme val="minor"/>
      </rPr>
      <t>Total Cost (goal)</t>
    </r>
  </si>
  <si>
    <r>
      <rPr>
        <sz val="12"/>
        <color theme="1"/>
        <rFont val="Symbol"/>
        <family val="1"/>
        <charset val="2"/>
      </rPr>
      <t>¬</t>
    </r>
    <r>
      <rPr>
        <sz val="12"/>
        <color theme="1"/>
        <rFont val="Calibri"/>
        <family val="2"/>
      </rPr>
      <t xml:space="preserve"> </t>
    </r>
    <r>
      <rPr>
        <sz val="12"/>
        <color theme="1"/>
        <rFont val="Calibri"/>
        <family val="2"/>
        <scheme val="minor"/>
      </rPr>
      <t>Minimum corn acres (goal)</t>
    </r>
  </si>
  <si>
    <r>
      <rPr>
        <sz val="12"/>
        <color theme="1"/>
        <rFont val="Symbol"/>
        <family val="1"/>
        <charset val="2"/>
      </rPr>
      <t>¬</t>
    </r>
    <r>
      <rPr>
        <sz val="12"/>
        <color theme="1"/>
        <rFont val="Calibri"/>
        <family val="2"/>
      </rPr>
      <t xml:space="preserve"> </t>
    </r>
    <r>
      <rPr>
        <sz val="12"/>
        <color theme="1"/>
        <rFont val="Calibri"/>
        <family val="2"/>
        <scheme val="minor"/>
      </rPr>
      <t>Minimum soybean acres</t>
    </r>
    <r>
      <rPr>
        <sz val="12"/>
        <color theme="1"/>
        <rFont val="Calibri"/>
        <family val="1"/>
        <charset val="2"/>
        <scheme val="minor"/>
      </rPr>
      <t xml:space="preserve"> (goal)</t>
    </r>
  </si>
  <si>
    <r>
      <rPr>
        <sz val="12"/>
        <color theme="1"/>
        <rFont val="Symbol"/>
        <family val="1"/>
        <charset val="2"/>
      </rPr>
      <t>¬</t>
    </r>
    <r>
      <rPr>
        <sz val="12"/>
        <color theme="1"/>
        <rFont val="Calibri"/>
        <family val="2"/>
      </rPr>
      <t xml:space="preserve"> </t>
    </r>
    <r>
      <rPr>
        <sz val="12"/>
        <color theme="1"/>
        <rFont val="Calibri"/>
        <family val="2"/>
        <scheme val="minor"/>
      </rPr>
      <t>Minimum wheat acres</t>
    </r>
    <r>
      <rPr>
        <sz val="12"/>
        <color theme="1"/>
        <rFont val="Calibri"/>
        <family val="1"/>
        <charset val="2"/>
        <scheme val="minor"/>
      </rPr>
      <t xml:space="preserve"> (goal)</t>
    </r>
  </si>
  <si>
    <r>
      <rPr>
        <sz val="12"/>
        <color theme="1"/>
        <rFont val="Symbol"/>
        <family val="1"/>
        <charset val="2"/>
      </rPr>
      <t>¬</t>
    </r>
    <r>
      <rPr>
        <sz val="12"/>
        <color theme="1"/>
        <rFont val="Calibri"/>
        <family val="2"/>
      </rPr>
      <t xml:space="preserve"> </t>
    </r>
    <r>
      <rPr>
        <sz val="12"/>
        <color theme="1"/>
        <rFont val="Calibri"/>
        <family val="2"/>
        <scheme val="minor"/>
      </rPr>
      <t>Maximum acres</t>
    </r>
    <r>
      <rPr>
        <sz val="12"/>
        <color theme="1"/>
        <rFont val="Calibri"/>
        <family val="1"/>
        <charset val="2"/>
        <scheme val="minor"/>
      </rPr>
      <t xml:space="preserve"> allowed</t>
    </r>
  </si>
  <si>
    <r>
      <rPr>
        <sz val="12"/>
        <color theme="1"/>
        <rFont val="Symbol"/>
        <family val="1"/>
        <charset val="2"/>
      </rPr>
      <t>¬</t>
    </r>
    <r>
      <rPr>
        <sz val="12"/>
        <color theme="1"/>
        <rFont val="Calibri"/>
        <family val="2"/>
      </rPr>
      <t xml:space="preserve"> Use </t>
    </r>
    <r>
      <rPr>
        <sz val="12"/>
        <color theme="1"/>
        <rFont val="Calibri"/>
        <family val="2"/>
        <scheme val="minor"/>
      </rPr>
      <t>Solver Function</t>
    </r>
  </si>
  <si>
    <t>Nutrient Management</t>
  </si>
  <si>
    <t>Use this information to help determine the amount of commercial fertilizer needed in the Fertilizer Plan tab.</t>
  </si>
  <si>
    <t>Total Nutrient Needs</t>
  </si>
  <si>
    <t>This provides detailed information for use with the Fertilizer Plan tab to determine how much commercial fertilizer will need to be applied.</t>
  </si>
  <si>
    <t>Capital &amp; Opportunity</t>
  </si>
  <si>
    <t>How much of every $1.00 generated goes to operating costs?</t>
  </si>
  <si>
    <t>How much of every $1.00 generated goes to depreciation costs?</t>
  </si>
  <si>
    <t>How much of every $1.00 generated goes to interest costs?</t>
  </si>
  <si>
    <t>How much of every $1.00 generated is farm income?</t>
  </si>
  <si>
    <t>Variable Costs</t>
  </si>
  <si>
    <t>Total Fixed Costs</t>
  </si>
  <si>
    <t>Total Variable &amp; Fixed Costs</t>
  </si>
  <si>
    <t>Total Variable Costs</t>
  </si>
  <si>
    <t>Fixed Costs</t>
  </si>
  <si>
    <t>Seed Cost</t>
  </si>
  <si>
    <r>
      <t xml:space="preserve">Depreciation </t>
    </r>
    <r>
      <rPr>
        <sz val="12"/>
        <color theme="1"/>
        <rFont val="Calibri"/>
        <family val="2"/>
        <scheme val="minor"/>
      </rPr>
      <t>(Economic not Taxable)</t>
    </r>
  </si>
  <si>
    <r>
      <t xml:space="preserve">Interest </t>
    </r>
    <r>
      <rPr>
        <sz val="12"/>
        <color theme="1"/>
        <rFont val="Calibri"/>
        <family val="2"/>
        <scheme val="minor"/>
      </rPr>
      <t>(Operating)</t>
    </r>
  </si>
  <si>
    <r>
      <t xml:space="preserve">Owner Withdrawal </t>
    </r>
    <r>
      <rPr>
        <sz val="12"/>
        <color theme="1"/>
        <rFont val="Calibri"/>
        <family val="2"/>
        <scheme val="minor"/>
      </rPr>
      <t>(Family Living)</t>
    </r>
  </si>
  <si>
    <r>
      <t xml:space="preserve">Interest </t>
    </r>
    <r>
      <rPr>
        <sz val="12"/>
        <color theme="1"/>
        <rFont val="Calibri"/>
        <family val="2"/>
        <scheme val="minor"/>
      </rPr>
      <t>(Term)</t>
    </r>
  </si>
  <si>
    <t>Variablecosts, such as Fuel, Labor, Repair &amp; Maintenance, etc., are input here.</t>
  </si>
  <si>
    <r>
      <rPr>
        <b/>
        <sz val="12"/>
        <color theme="1"/>
        <rFont val="Calibri"/>
        <family val="2"/>
        <scheme val="minor"/>
      </rPr>
      <t xml:space="preserve">NOTE: </t>
    </r>
    <r>
      <rPr>
        <sz val="12"/>
        <color theme="1"/>
        <rFont val="Calibri"/>
        <family val="2"/>
        <scheme val="minor"/>
      </rPr>
      <t>Seed cost is found at the top of this tab.</t>
    </r>
  </si>
  <si>
    <t>Use total costs allocated to each specific crop (i.e. $10,000 to corn, $7,000 to soybeans, etc.) to determine a per/acre cost.</t>
  </si>
  <si>
    <t xml:space="preserve">For best results, accrued adjusted costs should be used.  </t>
  </si>
  <si>
    <t>Accrued costs = adding pre-paid costs in the previous year and subtracting pre-paid costs for next year.</t>
  </si>
  <si>
    <t>*Note: For this crop, Nitrogen applied in Pre-Plant/Broadcast applications are not considered to be accessible to meeting the plant's nutritional needs</t>
  </si>
  <si>
    <r>
      <t>Nitrogen Stabilizers</t>
    </r>
    <r>
      <rPr>
        <b/>
        <i/>
        <sz val="12"/>
        <color theme="9" tint="-0.249977111117893"/>
        <rFont val="Calibri"/>
        <family val="2"/>
        <scheme val="minor"/>
      </rPr>
      <t xml:space="preserve"> </t>
    </r>
    <r>
      <rPr>
        <b/>
        <i/>
        <sz val="12"/>
        <color theme="4" tint="-0.249977111117893"/>
        <rFont val="Calibri"/>
        <family val="2"/>
        <scheme val="minor"/>
      </rPr>
      <t>(drop down menu)</t>
    </r>
  </si>
  <si>
    <t>UAN 32% (32-0-0)</t>
  </si>
  <si>
    <t>Financing</t>
  </si>
  <si>
    <t>Total Financing</t>
  </si>
  <si>
    <t>Total Variable, Fixed, and Financing</t>
  </si>
  <si>
    <t>Tavium</t>
  </si>
  <si>
    <t>4/15</t>
  </si>
  <si>
    <t>Crusher</t>
  </si>
  <si>
    <t>Panoflex</t>
  </si>
  <si>
    <t>Liberty/Cheetah/Interline/Scout</t>
  </si>
  <si>
    <t>Tri-State Fertilizer Recommendations</t>
  </si>
  <si>
    <t>IF(AND(E8&lt;=50,'Crop Budget (Main)'!C14&lt;=100,D14&lt;=9),125,IF(AND(E8&lt;=50,'Crop Budget (Main)'!C14&lt;=120,D14&lt;=9),130,IF(AND(E8&lt;=50,'Crop Budget (Main)'!C14&lt;=140,D14&lt;=9),135,IF(AND(E8&lt;=50,'Crop Budget (Main)'!C14&lt;=160,D14&lt;=9),140,IF(AND(E8&lt;=50,'Crop Budget (Main)'!C14&lt;=180,D14&lt;=9),145,IF(AND(E8&lt;=50,'Crop Budget (Main)'!C14&gt;180,D14&lt;=9),145</t>
  </si>
  <si>
    <t>IF(AND(E8&lt;=100,'Crop Budget (Main)'!C14&lt;=100,D14&lt;=9),95,IF(AND(E8&lt;=100,'Crop Budget (Main)'!C14&lt;=120,D14&lt;=9),100,IF(AND(E8&lt;=100,'Crop Budget (Main)'!C14&lt;=140,D14&lt;=9),105,IF(AND(E8&lt;=100,'Crop Budget (Main)'!C14&lt;=160,D14&lt;=9),110,IF(AND(E8&lt;=100,'Crop Budget (Main)'!C14&lt;=180,D14&lt;=9),115,IF(AND(E8&lt;=100,'Crop Budget (Main)'!C14&gt;180,D14&lt;=9),115</t>
  </si>
  <si>
    <t>IF(AND(E8&lt;=150,'Crop Budget (Main)'!C14&lt;=100,D14&lt;=9),65,IF(AND(E8&lt;=150,'Crop Budget (Main)'!C14&lt;=120,D14&lt;=9),70,IF(AND(E8&lt;=150,'Crop Budget (Main)'!C14&lt;=140,D14&lt;=9),75,IF(AND(E8&lt;=150,'Crop Budget (Main)'!C14&lt;=160,D14&lt;=9),80,IF(AND(E8&lt;=150,'Crop Budget (Main)'!C14&lt;=180,D14&lt;=9),85,IF(AND(E8&lt;=150,'Crop Budget (Main)'!C14&gt;180,D14&lt;=9),80</t>
  </si>
  <si>
    <t>IF(AND(E8&lt;=50,'Crop Budget (Main)'!C14&lt;=100,D14&lt;=19),160,IF(AND(E8&lt;=50,'Crop Budget (Main)'!C14&lt;=120,D14&lt;=19),165,IF(AND(E8&lt;=50,'Crop Budget (Main)'!C14&lt;=140,D14&lt;=19),170,IF(AND(E8&lt;=50,'Crop Budget (Main)'!C14&lt;=160,D14&lt;=19),175,IF(AND(E8&lt;=50,'Crop Budget (Main)'!C14&lt;=180,D14&lt;=19),180,IF(AND(E8&lt;=50,'Crop Budget (Main)'!C14&gt;180,D14&lt;=19),180</t>
  </si>
  <si>
    <t>IF(AND(E8&lt;=100,'Crop Budget (Main)'!C14&lt;=100,D14&lt;=19),120,IF(AND(E8&lt;=100,'Crop Budget (Main)'!C14&lt;=120,D14&lt;=19),125,IF(AND(E8&lt;=100,'Crop Budget (Main)'!C14&lt;=140,D14&lt;=19),135,IF(AND(E8&lt;=100,'Crop Budget (Main)'!C14&lt;=160,D14&lt;=19),140,IF(AND(E8&lt;=100,'Crop Budget (Main)'!C14&lt;=180,D14&lt;=19),145,IF(AND(E8&lt;=100,'Crop Budget (Main)'!C14&gt;180,D14&lt;=19),145</t>
  </si>
  <si>
    <t>IF(AND(E8&lt;=150,'Crop Budget (Main)'!C14&lt;=100,D14&lt;=19),85,IF(AND(E8&lt;=150,'Crop Budget (Main)'!C14&lt;=120,D14&lt;=19),90,IF(AND(E8&lt;=150,'Crop Budget (Main)'!C14&lt;=140,D14&lt;=19),95,IF(AND(E8&lt;=150,'Crop Budget (Main)'!C14&lt;=160,D14&lt;=19),100,IF(AND(E8&lt;=150,'Crop Budget (Main)'!C14&lt;=180,D14&lt;=19),105,IF(AND(E8&lt;=150,'Crop Budget (Main)'!C14&gt;180,D14&lt;=19),100</t>
  </si>
  <si>
    <t>IF(AND(E8&lt;=100,'Crop Budget (Main)'!C14&lt;=100,D14&lt;=29),195,IF(AND(E8&lt;=100,'Crop Budget (Main)'!C14&lt;=120,D14&lt;=29),200,IF(AND(E8&lt;=100,'Crop Budget (Main)'!C14&lt;=140,D14&lt;=29),210,IF(AND(E8&lt;=100,'Crop Budget (Main)'!C14&lt;=160,D14&lt;=29),215,IF(AND(E8&lt;=100,'Crop Budget (Main)'!C14&lt;=180,D14&lt;=29),220,IF(AND(E8&lt;=100,'Crop Budget (Main)'!C14&gt;180,D14&lt;=29),220</t>
  </si>
  <si>
    <t>IF(AND(E8&lt;=150,'Crop Budget (Main)'!C14&lt;=100,D14&lt;=29),145,IF(AND(E8&lt;=150,'Crop Budget (Main)'!C14&lt;=120,D14&lt;=29),150,IF(AND(E8&lt;=150,'Crop Budget (Main)'!C14&lt;=140,D14&lt;=29),160,IF(AND(E8&lt;=150,'Crop Budget (Main)'!C14&lt;=160,D14&lt;=29),165,IF(AND(E8&lt;=150,'Crop Budget (Main)'!C14&lt;=180,D14&lt;=29),170,IF(AND(E8&lt;=150,'Crop Budget (Main)'!C14&gt;180,D14&lt;=29),170</t>
  </si>
  <si>
    <t>IF(AND(E8&lt;=50,'Crop Budget (Main)'!C14&lt;=100,D14&lt;=9),125,IF(AND(E8&lt;=50,'Crop Budget (Main)'!C14&lt;=120,D14&lt;=9),130,IF(AND(E8&lt;=50,'Crop Budget (Main)'!C14&lt;=140,D14&lt;=9),135,IF(AND(E8&lt;=50,'Crop Budget (Main)'!C14&lt;=160,D14&lt;=9),140,IF(AND(E8&lt;=50,'Crop Budget (Main)'!C14&lt;=180,D14&lt;=9),145,IF(AND(E8&lt;=50,'Crop Budget (Main)'!C14&gt;180,D14&lt;=9),145,IF(AND(E8&lt;=100,'Crop Budget (Main)'!C14&lt;=100,D14&lt;=9),95,IF(AND(E8&lt;=100,'Crop Budget (Main)'!C14&lt;=120,D14&lt;=9),100,IF(AND(E8&lt;=100,'Crop Budget (Main)'!C14&lt;=140,D14&lt;=9),105,IF(AND(E8&lt;=100,'Crop Budget (Main)'!C14&lt;=160,D14&lt;=9),110,IF(AND(E8&lt;=100,'Crop Budget (Main)'!C14&lt;=180,D14&lt;=9),115,IF(AND(E8&lt;=100,'Crop Budget (Main)'!C14&gt;180,D14&lt;=9),115,IF(AND(E8&lt;=150,'Crop Budget (Main)'!C14&lt;=100,D14&lt;=9),65,IF(AND(E8&lt;=150,'Crop Budget (Main)'!C14&lt;=120,D14&lt;=9),70,IF(AND(E8&lt;=150,'Crop Budget (Main)'!C14&lt;=140,D14&lt;=9),75,IF(AND(E8&lt;=150,'Crop Budget (Main)'!C14&lt;=160,D14&lt;=9),80,IF(AND(E8&lt;=150,'Crop Budget (Main)'!C14&lt;=180,D14&lt;=9),85,IF(AND(E8&lt;=150,'Crop Budget (Main)'!C14&gt;180,D14&lt;=9),80,IF(AND(E8&lt;=50,'Crop Budget (Main)'!C14&lt;=100,D14&lt;=19),160,IF(AND(E8&lt;=50,'Crop Budget (Main)'!C14&lt;=120,D14&lt;=19),165,IF(AND(E8&lt;=50,'Crop Budget (Main)'!C14&lt;=140,D14&lt;=19),170,IF(AND(E8&lt;=50,'Crop Budget (Main)'!C14&lt;=160,D14&lt;=19),175,IF(AND(E8&lt;=50,'Crop Budget (Main)'!C14&lt;=180,D14&lt;=19),180,IF(AND(E8&lt;=50,'Crop Budget (Main)'!C14&gt;180,D14&lt;=19),180,IF(AND(E8&lt;=100,'Crop Budget (Main)'!C14&lt;=100,D14&lt;=19),120,IF(AND(E8&lt;=100,'Crop Budget (Main)'!C14&lt;=120,D14&lt;=19),125,IF(AND(E8&lt;=100,'Crop Budget (Main)'!C14&lt;=140,D14&lt;=19),135,IF(AND(E8&lt;=100,'Crop Budget (Main)'!C14&lt;=160,D14&lt;=19),140,IF(AND(E8&lt;=100,'Crop Budget (Main)'!C14&lt;=180,D14&lt;=19),145,IF(AND(E8&lt;=100,'Crop Budget (Main)'!C14&gt;180,D14&lt;=19),145,IF(AND(E8&lt;=150,'Crop Budget (Main)'!C14&lt;=100,D14&lt;=19),85,IF(AND(E8&lt;=150,'Crop Budget (Main)'!C14&lt;=120,D14&lt;=19),90,IF(AND(E8&lt;=150,'Crop Budget (Main)'!C14&lt;=140,D14&lt;=19),95,IF(AND(E8&lt;=150,'Crop Budget (Main)'!C14&lt;=160,D14&lt;=19),100,IF(AND(E8&lt;=150,'Crop Budget (Main)'!C14&lt;=180,D14&lt;=19),105,IF(AND(E8&lt;=150,'Crop Budget (Main)'!C14&gt;180,D14&lt;=19),100,IF(AND(E8&lt;=200,'Crop Budget (Main)'!C14&lt;=100,D14&lt;=19),45,IF(AND(E8&lt;=200,'Crop Budget (Main)'!C14&lt;=120,D14&lt;=19),50,IF(AND(E8&lt;=200,'Crop Budget (Main)'!C14&lt;=140,D14&lt;=19),60,IF(AND(E8&lt;=200,'Crop Budget (Main)'!C14&lt;=160,D14&lt;=19),65,IF(AND(E8&lt;=200,'Crop Budget (Main)'!C14&lt;=180,D14&lt;=19),70,IF(AND(E8&lt;=200,'Crop Budget (Main)'!C14&gt;180,D14&lt;=19),70,IF(AND(E8&lt;=100,'Crop Budget (Main)'!C14&lt;=100,D14&lt;=29),195,IF(AND(E8&lt;=100,'Crop Budget (Main)'!C14&lt;=120,D14&lt;=29),200,IF(AND(E8&lt;=100,'Crop Budget (Main)'!C14&lt;=140,D14&lt;=29),210,IF(AND(E8&lt;=100,'Crop Budget (Main)'!C14&lt;=160,D14&lt;=29),215,IF(AND(E8&lt;=100,'Crop Budget (Main)'!C14&lt;=180,D14&lt;=29),220,IF(AND(E8&lt;=100,'Crop Budget (Main)'!C14&gt;180,D14&lt;=29),220,IF(AND(E8&lt;=150,'Crop Budget (Main)'!C14&lt;=100,D14&lt;=29),145,IF(AND(E8&lt;=150,'Crop Budget (Main)'!C14&lt;=120,D14&lt;=29),150,IF(AND(E8&lt;=150,'Crop Budget (Main)'!C14&lt;=140,D14&lt;=29),160,IF(AND(E8&lt;=150,'Crop Budget (Main)'!C14&lt;=160,D14&lt;=29),165,IF(AND(E8&lt;=150,'Crop Budget (Main)'!C14&lt;=180,D14&lt;=29),170,IF(AND(E8&lt;=150,'Crop Budget (Main)'!C14&gt;180,D14&lt;=29),170,IF(AND(E8&lt;=200,'Crop Budget (Main)'!C14&lt;=100,D14&lt;=29),95,IF(AND(E8&lt;=200,'Crop Budget (Main)'!C14&lt;=120,D14&lt;=29),100,IF(AND(E8&lt;=200,'Crop Budget (Main)'!C14&lt;=140,D14&lt;=29),110,IF(AND(E8&lt;=200,'Crop Budget (Main)'!C14&lt;=160,D14&lt;=29),115,IF(AND(E8&lt;=200,'Crop Budget (Main)'!C14&lt;=180,D14&lt;=29),120,IF(AND(E8&lt;=200,'Crop Budget (Main)'!C14&gt;180,D14&lt;=29),120</t>
  </si>
  <si>
    <t>IF(AND(E8&lt;=250,'Crop Budget (Main)'!C14&lt;=100,D14&lt;=19),45,IF(AND(E8&lt;=250,'Crop Budget (Main)'!C14&lt;=120,D14&lt;=19),50,IF(AND(E8&lt;=250,'Crop Budget (Main)'!C14&lt;=140,D14&lt;=19),60,IF(AND(E8&lt;=250,'Crop Budget (Main)'!C14&lt;=160,D14&lt;=19),65,IF(AND(E8&lt;=250,'Crop Budget (Main)'!C14&lt;=180,D14&lt;=19),70,IF(AND(E8&lt;=250,'Crop Budget (Main)'!C14&gt;180,D14&lt;=19),70</t>
  </si>
  <si>
    <t>IF(AND(E8&lt;=250,'Crop Budget (Main)'!C14&lt;=100,D14&lt;=29),95,IF(AND(E8&lt;=250,'Crop Budget (Main)'!C14&lt;=120,D14&lt;=29),100,IF(AND(E8&lt;=250,'Crop Budget (Main)'!C14&lt;=140,D14&lt;=29),110,IF(AND(E8&lt;=250,'Crop Budget (Main)'!C14&lt;=160,D14&lt;=29),115,IF(AND(E8&lt;=250,'Crop Budget (Main)'!C14&lt;=180,D14&lt;=29),120,IF(AND(E8&lt;=250,'Crop Budget (Main)'!C14&gt;180,D14&lt;=29),120</t>
  </si>
  <si>
    <t>IF(AND(I8&lt;=50,'Crop Budget (Main)'!G14&lt;=30,H14&lt;=9),140,IF(AND(I8&lt;=50,'Crop Budget (Main)'!G14&lt;=40,H14&lt;=9),155,IF(AND(I8&lt;=50,'Crop Budget (Main)'!G14&lt;=50,H14&lt;=9),170,IF(AND(I8&lt;=50,'Crop Budget (Main)'!G14&lt;=60,H14&lt;=9),180,IF(AND(I8&lt;=50,'Crop Budget (Main)'!G14&lt;=70,H14&lt;=9),195,IF(AND(I8&lt;=50,'Crop Budget (Main)'!G14&gt;70,H14&lt;=9),195</t>
  </si>
  <si>
    <t>IF(AND(I8&lt;=100,'Crop Budget (Main)'!G14&lt;=30,H14&lt;=9),110,IF(AND(I8&lt;=100,'Crop Budget (Main)'!G14&lt;=40,H14&lt;=9),125,IF(AND(I8&lt;=100,'Crop Budget (Main)'!G14&lt;=50,H14&lt;=9),135,IF(AND(I8&lt;=100,'Crop Budget (Main)'!G14&lt;=60,H14&lt;=9),150,IF(AND(I8&lt;=100,'Crop Budget (Main)'!G14&lt;=70,H14&lt;=9),165,IF(AND(I8&lt;=100,'Crop Budget (Main)'!G14&gt;70,H14&lt;=9),165</t>
  </si>
  <si>
    <t>IF(AND(I8&lt;=150,'Crop Budget (Main)'!G14&lt;=30,H14&lt;=9),80,IF(AND(I8&lt;=150,'Crop Budget (Main)'!G14&lt;=40,H14&lt;=9),90,IF(AND(I8&lt;=150,'Crop Budget (Main)'!G14&lt;=50,H14&lt;=9),105,IF(AND(I8&lt;=150,'Crop Budget (Main)'!G14&lt;=60,H14&lt;=9),105,IF(AND(I8&lt;=150,'Crop Budget (Main)'!G14&lt;=70,H14&lt;=9),120,IF(AND(I8&lt;=150,'Crop Budget (Main)'!G14&gt;70,H14&lt;=9),120</t>
  </si>
  <si>
    <t>IF(AND(I8&lt;=50,'Crop Budget (Main)'!G14&lt;=30,H14&lt;=19),175,IF(AND(I8&lt;=50,'Crop Budget (Main)'!G14&lt;=40,H14&lt;=19),190,IF(AND(I8&lt;=50,'Crop Budget (Main)'!G14&lt;=50,H14&lt;=19),205,IF(AND(I8&lt;=50,'Crop Budget (Main)'!G14&lt;=60,H14&lt;=19),215,IF(AND(I8&lt;=50,'Crop Budget (Main)'!G14&lt;=70,H14&lt;=19),230,IF(AND(I8&lt;=50,'Crop Budget (Main)'!G14&gt;70,H14&lt;=19),230</t>
  </si>
  <si>
    <t>IF(AND(I8&lt;=100,'Crop Budget (Main)'!G14&lt;=30,H14&lt;=19),135,IF(AND(I8&lt;=100,'Crop Budget (Main)'!G14&lt;=40,H14&lt;=19),150,IF(AND(I8&lt;=100,'Crop Budget (Main)'!G14&lt;=50,H14&lt;=19),165,IF(AND(I8&lt;=100,'Crop Budget (Main)'!G14&lt;=60,H14&lt;=19),180,IF(AND(I8&lt;=100,'Crop Budget (Main)'!G14&lt;=70,H14&lt;=19),195,IF(AND(I8&lt;=100,'Crop Budget (Main)'!G14&gt;70,H14&lt;=19),195</t>
  </si>
  <si>
    <t>IF(AND(I8&lt;=150,'Crop Budget (Main)'!G14&lt;=30,H14&lt;=19),100,IF(AND(I8&lt;=150,'Crop Budget (Main)'!G14&lt;=40,H14&lt;=19),115,IF(AND(I8&lt;=150,'Crop Budget (Main)'!G14&lt;=50,H14&lt;=19),130,IF(AND(I8&lt;=150,'Crop Budget (Main)'!G14&lt;=60,H14&lt;=19),140,IF(AND(I8&lt;=150,'Crop Budget (Main)'!G14&lt;=70,H14&lt;=19),155,IF(AND(I8&lt;=150,'Crop Budget (Main)'!G14&gt;70,H14&lt;=19),155</t>
  </si>
  <si>
    <t>IF(AND(I8&lt;=250,'Crop Budget (Main)'!G14&lt;=30,H14&lt;=19),60,IF(AND(I8&lt;=250,'Crop Budget (Main)'!G14&lt;=40,H14&lt;=19),75,IF(AND(I8&lt;=250,'Crop Budget (Main)'!G14&lt;=50,H14&lt;=19),90,IF(AND(I8&lt;=250,'Crop Budget (Main)'!G14&lt;=60,H14&lt;=19),105,IF(AND(I8&lt;=250,'Crop Budget (Main)'!G14&lt;=70,H14&lt;=19),120,IF(AND(I8&lt;=250,'Crop Budget (Main)'!G14&gt;70,H14&lt;=19),120</t>
  </si>
  <si>
    <t>IF(AND(I8&lt;=100,'Crop Budget (Main)'!G14&lt;=100,H14&lt;=29),210,IF(AND(I8&lt;=100,'Crop Budget (Main)'!G14&lt;=120,H14&lt;=29),225,IF(AND(I8&lt;=100,'Crop Budget (Main)'!G14&lt;=140,H14&lt;=29),240,IF(AND(I8&lt;=100,'Crop Budget (Main)'!G14&lt;=160,H14&lt;=29),255,IF(AND(I8&lt;=100,'Crop Budget (Main)'!G14&lt;=180,H14&lt;=29),270,IF(AND(I8&lt;=100,'Crop Budget (Main)'!G14&gt;180,H14&lt;=29),270</t>
  </si>
  <si>
    <t>IF(AND(I8&lt;=150,'Crop Budget (Main)'!G14&lt;=100,H14&lt;=29),160,IF(AND(I8&lt;=150,'Crop Budget (Main)'!G14&lt;=120,H14&lt;=29),175,IF(AND(I8&lt;=150,'Crop Budget (Main)'!G14&lt;=140,H14&lt;=29),190,IF(AND(I8&lt;=150,'Crop Budget (Main)'!G14&lt;=160,H14&lt;=29),205,IF(AND(I8&lt;=150,'Crop Budget (Main)'!G14&lt;=180,H14&lt;=29),220,IF(AND(I8&lt;=150,'Crop Budget (Main)'!G14&gt;180,H14&lt;=29),220</t>
  </si>
  <si>
    <t>IF(AND(I8&lt;=250,'Crop Budget (Main)'!G14&lt;=100,H14&lt;=29),110,IF(AND(I8&lt;=250,'Crop Budget (Main)'!G14&lt;=120,H14&lt;=29),125,IF(AND(I8&lt;=250,'Crop Budget (Main)'!G14&lt;=140,H14&lt;=29),140,IF(AND(I8&lt;=250,'Crop Budget (Main)'!G14&lt;=160,H14&lt;=29),155,IF(AND(I8&lt;=250,'Crop Budget (Main)'!G14&lt;=180,H14&lt;=29),170,IF(AND(I8&lt;=250,'Crop Budget (Main)'!G14&gt;180,H14&lt;=29),170</t>
  </si>
  <si>
    <t>IF(AND(I8&lt;=50,'Crop Budget (Main)'!G14&lt;=30,H14&lt;=9),140,IF(AND(I8&lt;=50,'Crop Budget (Main)'!G14&lt;=40,H14&lt;=9),155,IF(AND(I8&lt;=50,'Crop Budget (Main)'!G14&lt;=50,H14&lt;=9),170,IF(AND(I8&lt;=50,'Crop Budget (Main)'!G14&lt;=60,H14&lt;=9),180,IF(AND(I8&lt;=50,'Crop Budget (Main)'!G14&lt;=70,H14&lt;=9),195,IF(AND(I8&lt;=50,'Crop Budget (Main)'!G14&gt;70,H14&lt;=9),195,IF(AND(I8&lt;=100,'Crop Budget (Main)'!G14&lt;=30,H14&lt;=9),110,IF(AND(I8&lt;=100,'Crop Budget (Main)'!G14&lt;=40,H14&lt;=9),125,IF(AND(I8&lt;=100,'Crop Budget (Main)'!G14&lt;=50,H14&lt;=9),135,IF(AND(I8&lt;=100,'Crop Budget (Main)'!G14&lt;=60,H14&lt;=9),150,IF(AND(I8&lt;=100,'Crop Budget (Main)'!G14&lt;=70,H14&lt;=9),165,IF(AND(I8&lt;=100,'Crop Budget (Main)'!G14&gt;70,H14&lt;=9),165,IF(AND(I8&lt;=150,'Crop Budget (Main)'!G14&lt;=30,H14&lt;=9),80,IF(AND(I8&lt;=150,'Crop Budget (Main)'!G14&lt;=40,H14&lt;=9),90,IF(AND(I8&lt;=150,'Crop Budget (Main)'!G14&lt;=50,H14&lt;=9),105,IF(AND(I8&lt;=150,'Crop Budget (Main)'!G14&lt;=60,H14&lt;=9),105,IF(AND(I8&lt;=150,'Crop Budget (Main)'!G14&lt;=70,H14&lt;=9),120,IF(AND(I8&lt;=150,'Crop Budget (Main)'!G14&gt;70,H14&lt;=9),120,IF(AND(I8&lt;=50,'Crop Budget (Main)'!G14&lt;=30,H14&lt;=19),175,IF(AND(I8&lt;=50,'Crop Budget (Main)'!G14&lt;=40,H14&lt;=19),190,IF(AND(I8&lt;=50,'Crop Budget (Main)'!G14&lt;=50,H14&lt;=19),205,IF(AND(I8&lt;=50,'Crop Budget (Main)'!G14&lt;=60,H14&lt;=19),215,IF(AND(I8&lt;=50,'Crop Budget (Main)'!G14&lt;=70,H14&lt;=19),230,IF(AND(I8&lt;=50,'Crop Budget (Main)'!G14&gt;70,H14&lt;=19),230,IF(AND(I8&lt;=100,'Crop Budget (Main)'!G14&lt;=30,H14&lt;=19),135,IF(AND(I8&lt;=100,'Crop Budget (Main)'!G14&lt;=40,H14&lt;=19),150,IF(AND(I8&lt;=100,'Crop Budget (Main)'!G14&lt;=50,H14&lt;=19),165,IF(AND(I8&lt;=100,'Crop Budget (Main)'!G14&lt;=60,H14&lt;=19),180,IF(AND(I8&lt;=100,'Crop Budget (Main)'!G14&lt;=70,H14&lt;=19),195,IF(AND(I8&lt;=100,'Crop Budget (Main)'!G14&gt;70,H14&lt;=19),195,IF(AND(I8&lt;=150,'Crop Budget (Main)'!G14&lt;=30,H14&lt;=19),100,IF(AND(I8&lt;=150,'Crop Budget (Main)'!G14&lt;=40,H14&lt;=19),115,IF(AND(I8&lt;=150,'Crop Budget (Main)'!G14&lt;=50,H14&lt;=19),130,IF(AND(I8&lt;=150,'Crop Budget (Main)'!G14&lt;=60,H14&lt;=19),140,IF(AND(I8&lt;=150,'Crop Budget (Main)'!G14&lt;=70,H14&lt;=19),155,IF(AND(I8&lt;=150,'Crop Budget (Main)'!G14&gt;70,H14&lt;=19),155,IF(AND(I8&lt;=250,'Crop Budget (Main)'!G14&lt;=30,H14&lt;=19),60,IF(AND(I8&lt;=250,'Crop Budget (Main)'!G14&lt;=40,H14&lt;=19),75,IF(AND(I8&lt;=250,'Crop Budget (Main)'!G14&lt;=50,H14&lt;=19),90,IF(AND(I8&lt;=250,'Crop Budget (Main)'!G14&lt;=60,H14&lt;=19),105,IF(AND(I8&lt;=250,'Crop Budget (Main)'!G14&lt;=70,H14&lt;=19),120,IF(AND(I8&lt;=250,'Crop Budget (Main)'!G14&gt;70,H14&lt;=19),120,IF(AND(I8&lt;=100,'Crop Budget (Main)'!G14&lt;=100,H14&lt;=29),210,IF(AND(I8&lt;=100,'Crop Budget (Main)'!G14&lt;=120,H14&lt;=29),225,IF(AND(I8&lt;=100,'Crop Budget (Main)'!G14&lt;=140,H14&lt;=29),240,IF(AND(I8&lt;=100,'Crop Budget (Main)'!G14&lt;=160,H14&lt;=29),255,IF(AND(I8&lt;=100,'Crop Budget (Main)'!G14&lt;=180,H14&lt;=29),270,IF(AND(I8&lt;=100,'Crop Budget (Main)'!G14&gt;180,H14&lt;=29),270,IF(AND(I8&lt;=150,'Crop Budget (Main)'!G14&lt;=100,H14&lt;=29),160,IF(AND(I8&lt;=150,'Crop Budget (Main)'!G14&lt;=120,H14&lt;=29),175,IF(AND(I8&lt;=150,'Crop Budget (Main)'!G14&lt;=140,H14&lt;=29),190,IF(AND(I8&lt;=150,'Crop Budget (Main)'!G14&lt;=160,H14&lt;=29),205,IF(AND(I8&lt;=150,'Crop Budget (Main)'!G14&lt;=180,H14&lt;=29),220,IF(AND(I8&lt;=150,'Crop Budget (Main)'!G14&gt;180,H14&lt;=29),220,IF(AND(I8&lt;=250,'Crop Budget (Main)'!G14&lt;=100,H14&lt;=29),110,IF(AND(I8&lt;=250,'Crop Budget (Main)'!G14&lt;=120,H14&lt;=29),125,IF(AND(I8&lt;=250,'Crop Budget (Main)'!G14&lt;=140,H14&lt;=29),140,IF(AND(I8&lt;=250,'Crop Budget (Main)'!G14&lt;=160,H14&lt;=29),155,IF(AND(I8&lt;=250,'Crop Budget (Main)'!G14&lt;=180,H14&lt;=29),170,IF(AND(I8&lt;=250,'Crop Budget (Main)'!G14&gt;180,H14&lt;=29),170</t>
  </si>
  <si>
    <t xml:space="preserve">Input soil test results, manure nutrient analysis, and compare with nutrient removal rates and tri-state recommendations to determine the total amount of nutrients needed.  </t>
  </si>
  <si>
    <t>IF(AND(M8&lt;=50,'Crop Budget (Main)'!K14&lt;=50,L14&lt;=9),115,IF(AND(M8&lt;=50,'Crop Budget (Main)'!K14&lt;=60,L14&lt;=9),130,IF(AND(M8&lt;=50,'Crop Budget (Main)'!K14&lt;=70,L14&lt;=9),125,IF(AND(M8&lt;=50,'Crop Budget (Main)'!K14&lt;=80,L14&lt;=9),130,IF(AND(M8&lt;=50,'Crop Budget (Main)'!K14&lt;=90,L14&lt;=9),130,IF(AND(M8&lt;=50,'Crop Budget (Main)'!K14&gt;90,L14&lt;=9),130</t>
  </si>
  <si>
    <t>IF(AND(M8&lt;=100,'Crop Budget (Main)'!K14&lt;=50,L14&lt;=9),85,IF(AND(M8&lt;=100,'Crop Budget (Main)'!K14&lt;=60,L14&lt;=9),90,IF(AND(M8&lt;=100,'Crop Budget (Main)'!K14&lt;=70,L14&lt;=9),95,IF(AND(M8&lt;=100,'Crop Budget (Main)'!K14&lt;=80,L14&lt;=9),95,IF(AND(M8&lt;=100,'Crop Budget (Main)'!K14&lt;=90,L14&lt;=9),100,IF(AND(M8&lt;=100,'Crop Budget (Main)'!K14&gt;90,L14&lt;=9),100</t>
  </si>
  <si>
    <t>IF(AND(M8&lt;=150,'Crop Budget (Main)'!K14&lt;=50,L14&lt;=9),55,IF(AND(M8&lt;=150,'Crop Budget (Main)'!K14&lt;=60,L14&lt;=9),60,IF(AND(M8&lt;=150,'Crop Budget (Main)'!K14&lt;=70,L14&lt;=9),60,IF(AND(M8&lt;=150,'Crop Budget (Main)'!K14&lt;=80,L14&lt;=9),65,IF(AND(M8&lt;=150,'Crop Budget (Main)'!K14&lt;=90,L14&lt;=9),70,IF(AND(M8&lt;=150,'Crop Budget (Main)'!K14&gt;90,L14&lt;=9),70</t>
  </si>
  <si>
    <t>IF(AND(M8&lt;=50,'Crop Budget (Main)'!K14&lt;=50,L14&lt;=19),150,IF(AND(M8&lt;=50,'Crop Budget (Main)'!K14&lt;=60,L14&lt;=19),155,IF(AND(M8&lt;=50,'Crop Budget (Main)'!K14&lt;=70,L14&lt;=19),160,IF(AND(M8&lt;=50,'Crop Budget (Main)'!K14&lt;=80,L14&lt;=19),160,IF(AND(M8&lt;=50,'Crop Budget (Main)'!K14&lt;=90,L14&lt;=19),165,IF(AND(M8&lt;=50,'Crop Budget (Main)'!K14&gt;90,L14&lt;=19),165</t>
  </si>
  <si>
    <t>IF(AND(M8&lt;=100,'Crop Budget (Main)'!K14&lt;=50,L14&lt;=19),115,IF(AND(M8&lt;=100,'Crop Budget (Main)'!K14&lt;=60,L14&lt;=19),115,IF(AND(M8&lt;=100,'Crop Budget (Main)'!K14&lt;=70,L14&lt;=19),120,IF(AND(M8&lt;=100,'Crop Budget (Main)'!K14&lt;=80,L14&lt;=19),125,IF(AND(M8&lt;=100,'Crop Budget (Main)'!K14&lt;=90,L14&lt;=19),130,IF(AND(M8&lt;=100,'Crop Budget (Main)'!K14&gt;90,L14&lt;=19),130</t>
  </si>
  <si>
    <t>IF(AND(M8&lt;=200,'Crop Budget (Main)'!K14&lt;=50,L14&lt;=19),40,IF(AND(M8&lt;=200,'Crop Budget (Main)'!K14&lt;=60,L14&lt;=19),40,IF(AND(M8&lt;=200,'Crop Budget (Main)'!K14&lt;=70,L14&lt;=19),45,IF(AND(M8&lt;=200,'Crop Budget (Main)'!K14&lt;=80,L14&lt;=19),50,IF(AND(M8&lt;=200,'Crop Budget (Main)'!K14&lt;=90,L14&lt;=19),50,IF(AND(M8&lt;=200,'Crop Budget (Main)'!K14&gt;90,L14&lt;=19),50</t>
  </si>
  <si>
    <t>IF(AND(M8&lt;=100,'Crop Budget (Main)'!K14&lt;=50,L14&lt;=29),190,IF(AND(M8&lt;=100,'Crop Budget (Main)'!K14&lt;=60,L14&lt;=29),190,IF(AND(M8&lt;=100,'Crop Budget (Main)'!K14&lt;=70,L14&lt;=29),195,IF(AND(M8&lt;=100,'Crop Budget (Main)'!K14&lt;=80,L14&lt;=29),200,IF(AND(M8&lt;=100,'Crop Budget (Main)'!K14&lt;=90,L14&lt;=29),205,IF(AND(M8&lt;=100,'Crop Budget (Main)'!K14&gt;90,L14&lt;=29),205</t>
  </si>
  <si>
    <t>IF(AND(M8&lt;=150,'Crop Budget (Main)'!K14&lt;=50,L14&lt;=29),140,IF(AND(M8&lt;=150,'Crop Budget (Main)'!K14&lt;=60,L14&lt;=29),140,IF(AND(M8&lt;=150,'Crop Budget (Main)'!K14&lt;=70,L14&lt;=29),145,IF(AND(M8&lt;=150,'Crop Budget (Main)'!K14&lt;=80,L14&lt;=29),150,IF(AND(M8&lt;=150,'Crop Budget (Main)'!K14&lt;=90,L14&lt;=29),155,IF(AND(M8&lt;=150,'Crop Budget (Main)'!K14&gt;90,L14&lt;=29),155</t>
  </si>
  <si>
    <t>IF(AND(M8&lt;=200,'Crop Budget (Main)'!K14&lt;=50,L14&lt;=29),90,IF(AND(M8&lt;=200,'Crop Budget (Main)'!K14&lt;=60,L14&lt;=29),90,IF(AND(M8&lt;=200,'Crop Budget (Main)'!K14&lt;=70,L14&lt;=29),95,IF(AND(M8&lt;=200,'Crop Budget (Main)'!K14&lt;=80,L14&lt;=29),100,IF(AND(M8&lt;=200,'Crop Budget (Main)'!K14&lt;=90,L14&lt;=29),105,IF(AND(M8&lt;=200,'Crop Budget (Main)'!K14&gt;90,L14&lt;=29),105</t>
  </si>
  <si>
    <t>IF(AND(M8&lt;=150,'Crop Budget (Main)'!K14&lt;=50,L14&lt;=19),75,IF(AND(M8&lt;=150,'Crop Budget (Main)'!K14&lt;=60,L14&lt;=19),80,IF(AND(M8&lt;=150,'Crop Budget (Main)'!K14&lt;=70,L14&lt;=19),85,IF(AND(M8&lt;=150,'Crop Budget (Main)'!K14&lt;=80,L14&lt;=19),85,IF(AND(M8&lt;=150,'Crop Budget (Main)'!K14&lt;=90,L14&lt;=19),90,IF(AND(M8&lt;=150,'Crop Budget (Main)'!K14&gt;90,L14&lt;=19),90</t>
  </si>
  <si>
    <t>IF(AND(M8&lt;=50,'Crop Budget (Main)'!K14&lt;=50,L14&lt;=9),115,IF(AND(M8&lt;=50,'Crop Budget (Main)'!K14&lt;=60,L14&lt;=9),130,IF(AND(M8&lt;=50,'Crop Budget (Main)'!K14&lt;=70,L14&lt;=9),125,IF(AND(M8&lt;=50,'Crop Budget (Main)'!K14&lt;=80,L14&lt;=9),130,IF(AND(M8&lt;=50,'Crop Budget (Main)'!K14&lt;=90,L14&lt;=9),130,IF(AND(M8&lt;=50,'Crop Budget (Main)'!K14&gt;90,L14&lt;=9),130,IF(AND(M8&lt;=100,'Crop Budget (Main)'!K14&lt;=50,L14&lt;=9),85,IF(AND(M8&lt;=100,'Crop Budget (Main)'!K14&lt;=60,L14&lt;=9),90,IF(AND(M8&lt;=100,'Crop Budget (Main)'!K14&lt;=70,L14&lt;=9),95,IF(AND(M8&lt;=100,'Crop Budget (Main)'!K14&lt;=80,L14&lt;=9),95,IF(AND(M8&lt;=100,'Crop Budget (Main)'!K14&lt;=90,L14&lt;=9),100,IF(AND(M8&lt;=100,'Crop Budget (Main)'!K14&gt;90,L14&lt;=9),100,IF(AND(M8&lt;=150,'Crop Budget (Main)'!K14&lt;=50,L14&lt;=9),55,IF(AND(M8&lt;=150,'Crop Budget (Main)'!K14&lt;=60,L14&lt;=9),60,IF(AND(M8&lt;=150,'Crop Budget (Main)'!K14&lt;=70,L14&lt;=9),60,IF(AND(M8&lt;=150,'Crop Budget (Main)'!K14&lt;=80,L14&lt;=9),65,IF(AND(M8&lt;=150,'Crop Budget (Main)'!K14&lt;=90,L14&lt;=9),70,IF(AND(M8&lt;=150,'Crop Budget (Main)'!K14&gt;90,L14&lt;=9),70,IF(AND(M8&lt;=50,'Crop Budget (Main)'!K14&lt;=50,L14&lt;=19),150,IF(AND(M8&lt;=50,'Crop Budget (Main)'!K14&lt;=60,L14&lt;=19),155,IF(AND(M8&lt;=50,'Crop Budget (Main)'!K14&lt;=70,L14&lt;=19),160,IF(AND(M8&lt;=50,'Crop Budget (Main)'!K14&lt;=80,L14&lt;=19),160,IF(AND(M8&lt;=50,'Crop Budget (Main)'!K14&lt;=90,L14&lt;=19),165,IF(AND(M8&lt;=50,'Crop Budget (Main)'!K14&gt;90,L14&lt;=19),165,IF(AND(M8&lt;=100,'Crop Budget (Main)'!K14&lt;=50,L14&lt;=19),115,IF(AND(M8&lt;=100,'Crop Budget (Main)'!K14&lt;=60,L14&lt;=19),115,IF(AND(M8&lt;=100,'Crop Budget (Main)'!K14&lt;=70,L14&lt;=19),120,IF(AND(M8&lt;=100,'Crop Budget (Main)'!K14&lt;=80,L14&lt;=19),125,IF(AND(M8&lt;=100,'Crop Budget (Main)'!K14&lt;=90,L14&lt;=19),130,IF(AND(M8&lt;=100,'Crop Budget (Main)'!K14&gt;90,L14&lt;=19),130,IF(AND(M8&lt;=150,'Crop Budget (Main)'!K14&lt;=50,L14&lt;=19),75,IF(AND(M8&lt;=150,'Crop Budget (Main)'!K14&lt;=60,L14&lt;=19),80,IF(AND(M8&lt;=150,'Crop Budget (Main)'!K14&lt;=70,L14&lt;=19),85,IF(AND(M8&lt;=150,'Crop Budget (Main)'!K14&lt;=80,L14&lt;=19),85,IF(AND(M8&lt;=150,'Crop Budget (Main)'!K14&lt;=90,L14&lt;=19),90,IF(AND(M8&lt;=150,'Crop Budget (Main)'!K14&gt;90,L14&lt;=19),90,IF(AND(M8&lt;=200,'Crop Budget (Main)'!K14&lt;=50,L14&lt;=19),40,IF(AND(M8&lt;=200,'Crop Budget (Main)'!K14&lt;=60,L14&lt;=19),40,IF(AND(M8&lt;=200,'Crop Budget (Main)'!K14&lt;=70,L14&lt;=19),45,IF(AND(M8&lt;=200,'Crop Budget (Main)'!K14&lt;=80,L14&lt;=19),50,IF(AND(M8&lt;=200,'Crop Budget (Main)'!K14&lt;=90,L14&lt;=19),50,IF(AND(M8&lt;=200,'Crop Budget (Main)'!K14&gt;90,L14&lt;=19),50,IF(AND(M8&lt;=100,'Crop Budget (Main)'!K14&lt;=50,L14&lt;=29),190,IF(AND(M8&lt;=100,'Crop Budget (Main)'!K14&lt;=60,L14&lt;=29),190,IF(AND(M8&lt;=100,'Crop Budget (Main)'!K14&lt;=70,L14&lt;=29),195,IF(AND(M8&lt;=100,'Crop Budget (Main)'!K14&lt;=80,L14&lt;=29),200,IF(AND(M8&lt;=100,'Crop Budget (Main)'!K14&lt;=90,L14&lt;=29),205,IF(AND(M8&lt;=100,'Crop Budget (Main)'!K14&gt;90,L14&lt;=29),205,IF(AND(M8&lt;=150,'Crop Budget (Main)'!K14&lt;=50,L14&lt;=29),140,IF(AND(M8&lt;=150,'Crop Budget (Main)'!K14&lt;=60,L14&lt;=29),140,IF(AND(M8&lt;=150,'Crop Budget (Main)'!K14&lt;=70,L14&lt;=29),145,IF(AND(M8&lt;=150,'Crop Budget (Main)'!K14&lt;=80,L14&lt;=29),150,IF(AND(M8&lt;=150,'Crop Budget (Main)'!K14&lt;=90,L14&lt;=29),155,IF(AND(M8&lt;=150,'Crop Budget (Main)'!K14&gt;90,L14&lt;=29),155,IF(AND(M8&lt;=200,'Crop Budget (Main)'!K14&lt;=50,L14&lt;=29),90,IF(AND(M8&lt;=200,'Crop Budget (Main)'!K14&lt;=60,L14&lt;=29),90,IF(AND(M8&lt;=200,'Crop Budget (Main)'!K14&lt;=70,L14&lt;=29),95,IF(AND(M8&lt;=200,'Crop Budget (Main)'!K14&lt;=80,L14&lt;=29),100,IF(AND(M8&lt;=200,'Crop Budget (Main)'!K14&lt;=90,L14&lt;=29),105,IF(AND(M8&lt;=200,'Crop Budget (Main)'!K14&gt;90,L14&lt;=29),105</t>
  </si>
  <si>
    <t>Profit Per Acre</t>
  </si>
  <si>
    <t>Maximized Profit</t>
  </si>
  <si>
    <t>6. After running Solver, the acres will be re-adjusted to maximize the profit of the combined crops (i.e. corn, soybeans, and wheat).</t>
  </si>
  <si>
    <t>2. Note the revenue per are is provided from the Crop Budget (Main) tab for all crops in column E.</t>
  </si>
  <si>
    <t>5. Click on the Maximized Profit cell in C15 and run the Solver tool (click on Data on the top toolbar).  Solver is pre-programmed, but can be reset using the photo below:</t>
  </si>
  <si>
    <t>Bushels Produced</t>
  </si>
  <si>
    <t>Relationship to</t>
  </si>
  <si>
    <t>Bushels Capacity</t>
  </si>
  <si>
    <t>Storage Capacity</t>
  </si>
  <si>
    <t>Optimization Instructions (w/ storage constraints)</t>
  </si>
  <si>
    <t>1. Note column J is calculated using the bushels input into Crop Budget (Main) multiplied by Column D4:D6</t>
  </si>
  <si>
    <t>2. Column K indicates that the bushels produced must be less than or equal to the amount of storage on the farm</t>
  </si>
  <si>
    <t>3. Follow #5 in the Optimization Instruction to open Solver</t>
  </si>
  <si>
    <t>4. Input the additional constraints of storage as shown below:</t>
  </si>
  <si>
    <t>5. After re-running Solver, the acres will be re-adjusted to maximize the profit of the combined crops (i.e. corn, soybeans, and wheat).</t>
  </si>
  <si>
    <t>1. Enter the acres for consideration in the Optimizer in column D4:D6.  The acres already on the Crop Budget (Main) tab have been provided for comparison.</t>
  </si>
  <si>
    <t xml:space="preserve"> (Net Farm Income - Financing + Depreciation)</t>
  </si>
  <si>
    <t>Net Farm Income</t>
  </si>
  <si>
    <t>(Gross Revenue - Variable &amp; Fixed Costs)</t>
  </si>
  <si>
    <r>
      <t xml:space="preserve">Net Returns </t>
    </r>
    <r>
      <rPr>
        <b/>
        <sz val="11"/>
        <color theme="1"/>
        <rFont val="Calibri"/>
        <family val="2"/>
        <scheme val="minor"/>
      </rPr>
      <t xml:space="preserve">(Over Variable &amp; Fixed) </t>
    </r>
  </si>
  <si>
    <r>
      <t xml:space="preserve">Repayment Capacity </t>
    </r>
    <r>
      <rPr>
        <b/>
        <sz val="11"/>
        <color theme="1"/>
        <rFont val="Calibri"/>
        <family val="2"/>
        <scheme val="minor"/>
      </rPr>
      <t>(Cash Flow)</t>
    </r>
  </si>
  <si>
    <r>
      <t>Capital Retainment</t>
    </r>
    <r>
      <rPr>
        <b/>
        <sz val="12"/>
        <color theme="1"/>
        <rFont val="Calibri"/>
        <family val="2"/>
        <scheme val="minor"/>
      </rPr>
      <t xml:space="preserve"> </t>
    </r>
    <r>
      <rPr>
        <b/>
        <sz val="11"/>
        <color theme="1"/>
        <rFont val="Calibri"/>
        <family val="2"/>
        <scheme val="minor"/>
      </rPr>
      <t xml:space="preserve">(Net Worth) </t>
    </r>
  </si>
  <si>
    <r>
      <rPr>
        <b/>
        <i/>
        <sz val="14"/>
        <color rgb="FF18453B"/>
        <rFont val="Calibri"/>
        <family val="2"/>
        <scheme val="minor"/>
      </rPr>
      <t>Return Over Variable Costs</t>
    </r>
    <r>
      <rPr>
        <b/>
        <i/>
        <sz val="12"/>
        <color rgb="FF18453B"/>
        <rFont val="Calibri"/>
        <family val="2"/>
        <scheme val="minor"/>
      </rPr>
      <t xml:space="preserve"> </t>
    </r>
  </si>
  <si>
    <t>(Gross Revenue - Variable Costs)</t>
  </si>
  <si>
    <t>Enter</t>
  </si>
  <si>
    <t>Zinc Sulphate</t>
  </si>
  <si>
    <t>Magnesium Sulfate</t>
  </si>
  <si>
    <t>Manganese</t>
  </si>
  <si>
    <t>3-18-18 (liquid)</t>
  </si>
  <si>
    <t>6-24-6 (liquid)</t>
  </si>
  <si>
    <t>Borosol 10</t>
  </si>
  <si>
    <t>Potassium Acetate (0-0-24)</t>
  </si>
  <si>
    <t>ESN (44-0-0)</t>
  </si>
  <si>
    <t>EDTA ZN (9%)</t>
  </si>
  <si>
    <t>Example:</t>
  </si>
  <si>
    <t>Corn Chemicals (Pre)</t>
  </si>
  <si>
    <t>Corn Chemicals (Post)</t>
  </si>
  <si>
    <t>Manganese Sulfate</t>
  </si>
  <si>
    <t>Fertilizer Products &amp; Pricing</t>
  </si>
  <si>
    <t>Input the products and prices for fertilizer, lime, and nitrogen stabilizers to use in the Fertilizer Plan</t>
  </si>
  <si>
    <t>The list of chemicals provided in this tool are based on the MSU Weed Guide.  Additional entry spaces are available to include other chemicals not listed in the guide (i.e. generics, pre-mixes, etc.)</t>
  </si>
  <si>
    <t>Chemical List Tabs (per crop)</t>
  </si>
  <si>
    <t>Soybean Chemicals (Post)</t>
  </si>
  <si>
    <t>Soybean Chemicals (Pre)</t>
  </si>
  <si>
    <t>Potash (0-0-60)</t>
  </si>
  <si>
    <r>
      <t>Macronutrients</t>
    </r>
    <r>
      <rPr>
        <b/>
        <i/>
        <sz val="12"/>
        <color theme="4" tint="-0.249977111117893"/>
        <rFont val="Calibri"/>
        <family val="2"/>
        <scheme val="minor"/>
      </rPr>
      <t xml:space="preserve"> (drop down menu)</t>
    </r>
  </si>
  <si>
    <r>
      <t>Micronutrients</t>
    </r>
    <r>
      <rPr>
        <b/>
        <i/>
        <sz val="12"/>
        <color theme="9" tint="-0.249977111117893"/>
        <rFont val="Calibri"/>
        <family val="2"/>
        <scheme val="minor"/>
      </rPr>
      <t xml:space="preserve"> </t>
    </r>
    <r>
      <rPr>
        <b/>
        <i/>
        <sz val="12"/>
        <color theme="4" tint="-0.249977111117893"/>
        <rFont val="Calibri"/>
        <family val="2"/>
        <scheme val="minor"/>
      </rPr>
      <t>(drop down menu)</t>
    </r>
  </si>
  <si>
    <r>
      <t>Lime</t>
    </r>
    <r>
      <rPr>
        <b/>
        <i/>
        <sz val="12"/>
        <color theme="9" tint="-0.249977111117893"/>
        <rFont val="Calibri"/>
        <family val="2"/>
        <scheme val="minor"/>
      </rPr>
      <t xml:space="preserve"> </t>
    </r>
    <r>
      <rPr>
        <b/>
        <i/>
        <sz val="12"/>
        <color theme="4" tint="-0.249977111117893"/>
        <rFont val="Calibri"/>
        <family val="2"/>
        <scheme val="minor"/>
      </rPr>
      <t>(drop down menu)</t>
    </r>
  </si>
  <si>
    <t>&lt;0 - 60%</t>
  </si>
  <si>
    <t>&lt;0 - 5%</t>
  </si>
  <si>
    <t>&lt;0 - 10%</t>
  </si>
  <si>
    <t>Price/Unit</t>
  </si>
  <si>
    <t>Nutrient Removal</t>
  </si>
  <si>
    <t>Soil Test Based Recommendations</t>
  </si>
  <si>
    <t>Enter Farm Name</t>
  </si>
  <si>
    <t>Nutrient Removal Recs</t>
  </si>
  <si>
    <t>Soil Test Based Recs</t>
  </si>
  <si>
    <t xml:space="preserve">Nutrients still needed based on starting point of soil test recommendations or nutrient removal rates, minus any manure or nutrient credits. </t>
  </si>
  <si>
    <t>Total Nutrients Needed From Commercial Fertilizer</t>
  </si>
  <si>
    <t xml:space="preserve">Step 7: </t>
  </si>
  <si>
    <t>Select Previous Crop</t>
  </si>
  <si>
    <t>(Select Below)</t>
  </si>
  <si>
    <t>Input nutrients being credited from legume crops planted in previous year.</t>
  </si>
  <si>
    <r>
      <t xml:space="preserve">For use with Step 6 </t>
    </r>
    <r>
      <rPr>
        <u/>
        <sz val="12"/>
        <color theme="1"/>
        <rFont val="Calibri"/>
        <family val="2"/>
        <scheme val="minor"/>
      </rPr>
      <t>(per MSU Bulletin: E-2904)</t>
    </r>
  </si>
  <si>
    <t>Nutrient Credit: Previous Crop</t>
  </si>
  <si>
    <t xml:space="preserve">Step 6: </t>
  </si>
  <si>
    <t>Input nutrients being provided in manure applications from previous year(s).</t>
  </si>
  <si>
    <t>Nutrient Credit: Manure - Previous Year(s)</t>
  </si>
  <si>
    <t xml:space="preserve">Step 5: </t>
  </si>
  <si>
    <t>*for all liquid and solid manure types</t>
  </si>
  <si>
    <t>----</t>
  </si>
  <si>
    <t>Days Before Incorporation</t>
  </si>
  <si>
    <t>0-1 days</t>
  </si>
  <si>
    <t>4-7 days</t>
  </si>
  <si>
    <t>If you are using manure or compost, for best results a nutrient analysis is highly recommended.</t>
  </si>
  <si>
    <t>Note:</t>
  </si>
  <si>
    <t>←  See table A4 in Manure Mgmt &amp; Utilization section for approximate manure values in place of nutrient analysis</t>
  </si>
  <si>
    <t>Michigan GAAMPS</t>
  </si>
  <si>
    <t>Manure application methods and nitrogen losses (University of Minnesota)</t>
  </si>
  <si>
    <t>Input nutrients being provided in manure applications "this year" (based on nutrient analysis results).</t>
  </si>
  <si>
    <t>Manure Resources</t>
  </si>
  <si>
    <t>Manure  Application - This Year</t>
  </si>
  <si>
    <t xml:space="preserve">Step 4: </t>
  </si>
  <si>
    <t>Lbs/Acre</t>
  </si>
  <si>
    <t>MSU recommends using soil test-based information to address nutrient needs of your intended yield goals.</t>
  </si>
  <si>
    <t xml:space="preserve">Nutrient removal rates are based on soil nutrients at "maintenance levels."  Soil testing is recommended to confirm maintenance levels exist prior to consideration of removal rates.  </t>
  </si>
  <si>
    <t>Amount of nutrients being removed based on yield goal.</t>
  </si>
  <si>
    <t>Nutrient Recommendation</t>
  </si>
  <si>
    <t xml:space="preserve">Step 3: </t>
  </si>
  <si>
    <t>x 2</t>
  </si>
  <si>
    <t>Pounds (Lbs)</t>
  </si>
  <si>
    <t>PPM</t>
  </si>
  <si>
    <t>PPM to Pounds (Lbs) Conversion Calculator</t>
  </si>
  <si>
    <t>http://cnrc.agron.iastate.edu/</t>
  </si>
  <si>
    <t>Obtained from MSU Fertilizer Recommendation Program, MRTN (Nitrogen) Calculator, Tri-State Recommendations or your local soil lab.</t>
  </si>
  <si>
    <t>Maximum Return to Nitrogen Calculator</t>
  </si>
  <si>
    <t>Soil Test Based Recommendations:</t>
  </si>
  <si>
    <t xml:space="preserve">Step 2: </t>
  </si>
  <si>
    <t>https://www.canr.msu.edu/fertrec/</t>
  </si>
  <si>
    <t>MSU Fertilizer Recommendation Program</t>
  </si>
  <si>
    <t>Yield Goal:</t>
  </si>
  <si>
    <t>Step 1:</t>
  </si>
  <si>
    <t>Manure (solid)</t>
  </si>
  <si>
    <r>
      <t xml:space="preserve">calculator </t>
    </r>
    <r>
      <rPr>
        <sz val="10"/>
        <color theme="1"/>
        <rFont val="Calibri"/>
        <family val="2"/>
      </rPr>
      <t>→</t>
    </r>
  </si>
  <si>
    <t>Manure (liquid)</t>
  </si>
  <si>
    <t>1,000 gal</t>
  </si>
  <si>
    <t>&gt;7 days</t>
  </si>
  <si>
    <t>Compost</t>
  </si>
  <si>
    <t>←Incorporation Adjustment</t>
  </si>
  <si>
    <t>Manure Calculator</t>
  </si>
  <si>
    <t>Manure (Solid)</t>
  </si>
  <si>
    <t>Days of Incorporation %</t>
  </si>
  <si>
    <t>Manure (Liquid)</t>
  </si>
  <si>
    <r>
      <t xml:space="preserve">*Do </t>
    </r>
    <r>
      <rPr>
        <b/>
        <u/>
        <sz val="12"/>
        <color theme="1"/>
        <rFont val="Calibri"/>
        <family val="2"/>
        <scheme val="minor"/>
      </rPr>
      <t>NOT</t>
    </r>
    <r>
      <rPr>
        <sz val="12"/>
        <color theme="1"/>
        <rFont val="Calibri"/>
        <family val="2"/>
        <scheme val="minor"/>
      </rPr>
      <t xml:space="preserve"> use manure values if already input on Nutrient Management tab.  This will double count values in fertilizer plan.</t>
    </r>
  </si>
  <si>
    <t>SuperU (46-0-0)</t>
  </si>
  <si>
    <t>2-3 days</t>
  </si>
  <si>
    <t>Retention Factor</t>
  </si>
  <si>
    <t>Manure Nitrogen Multiplier (wheat)</t>
  </si>
  <si>
    <t>Manure Nitrogen Multiplier (soybeans)</t>
  </si>
  <si>
    <t>Manure Nitrogen Multiplier (corn)</t>
  </si>
  <si>
    <t>CRP land</t>
  </si>
  <si>
    <t>Dry edible beans</t>
  </si>
  <si>
    <t>Grass hay</t>
  </si>
  <si>
    <t>Clover-grass hay</t>
  </si>
  <si>
    <t>Wheat + legume</t>
  </si>
  <si>
    <t>Oats + legume</t>
  </si>
  <si>
    <t>Barley + legume</t>
  </si>
  <si>
    <t>Trefoil, established</t>
  </si>
  <si>
    <t>Clover, seeding</t>
  </si>
  <si>
    <t>Clover, established</t>
  </si>
  <si>
    <t>Alfalfa, seeding</t>
  </si>
  <si>
    <t>Alfalfa, established</t>
  </si>
  <si>
    <t>Select Option Below</t>
  </si>
  <si>
    <t>From Crop Budget (Main)</t>
  </si>
  <si>
    <t>Based on Soil Test Based Recommendations from Nutrient Management tab</t>
  </si>
  <si>
    <t>Based on:</t>
  </si>
  <si>
    <t>Zn</t>
  </si>
  <si>
    <t>Manure Applications ---START HERE</t>
  </si>
  <si>
    <r>
      <t xml:space="preserve">Do you plan to include </t>
    </r>
    <r>
      <rPr>
        <b/>
        <sz val="12"/>
        <color theme="1"/>
        <rFont val="Calibri"/>
        <family val="2"/>
        <scheme val="minor"/>
      </rPr>
      <t>manure cost</t>
    </r>
    <r>
      <rPr>
        <sz val="12"/>
        <color theme="1"/>
        <rFont val="Calibri"/>
        <family val="2"/>
        <scheme val="minor"/>
      </rPr>
      <t xml:space="preserve"> in your fertilizer plan?  Go to the </t>
    </r>
    <r>
      <rPr>
        <b/>
        <sz val="12"/>
        <color theme="1"/>
        <rFont val="Calibri"/>
        <family val="2"/>
        <scheme val="minor"/>
      </rPr>
      <t>Fertilizer Products &amp; Pricing</t>
    </r>
    <r>
      <rPr>
        <sz val="12"/>
        <color theme="1"/>
        <rFont val="Calibri"/>
        <family val="2"/>
        <scheme val="minor"/>
      </rPr>
      <t xml:space="preserve"> worksheet</t>
    </r>
  </si>
  <si>
    <r>
      <rPr>
        <b/>
        <i/>
        <sz val="12"/>
        <color theme="1"/>
        <rFont val="Calibri"/>
        <family val="2"/>
        <scheme val="minor"/>
      </rPr>
      <t>Note:</t>
    </r>
    <r>
      <rPr>
        <i/>
        <sz val="12"/>
        <color theme="1"/>
        <rFont val="Calibri"/>
        <family val="2"/>
        <scheme val="minor"/>
      </rPr>
      <t xml:space="preserve"> There is a </t>
    </r>
    <r>
      <rPr>
        <b/>
        <i/>
        <sz val="12"/>
        <color theme="1"/>
        <rFont val="Calibri"/>
        <family val="2"/>
        <scheme val="minor"/>
      </rPr>
      <t>Manure Calculator</t>
    </r>
    <r>
      <rPr>
        <i/>
        <sz val="12"/>
        <color theme="1"/>
        <rFont val="Calibri"/>
        <family val="2"/>
        <scheme val="minor"/>
      </rPr>
      <t xml:space="preserve"> to input nutrient analysis values.  The calculator will adjust values based on selected number of days before manure is expected to be incorporated.  Retention factors used to adjust values are based on 2022 proposed MI GAAMPS charts.</t>
    </r>
  </si>
  <si>
    <r>
      <t xml:space="preserve">Do you plan to include </t>
    </r>
    <r>
      <rPr>
        <b/>
        <sz val="12"/>
        <color theme="1"/>
        <rFont val="Calibri"/>
        <family val="2"/>
        <scheme val="minor"/>
      </rPr>
      <t>only commercial fertilizer products</t>
    </r>
    <r>
      <rPr>
        <sz val="12"/>
        <color theme="1"/>
        <rFont val="Calibri"/>
        <family val="2"/>
        <scheme val="minor"/>
      </rPr>
      <t xml:space="preserve"> in your fertilizer plan?  Go to the </t>
    </r>
    <r>
      <rPr>
        <b/>
        <sz val="12"/>
        <color theme="1"/>
        <rFont val="Calibri"/>
        <family val="2"/>
        <scheme val="minor"/>
      </rPr>
      <t>Nutrient Management</t>
    </r>
    <r>
      <rPr>
        <sz val="12"/>
        <color theme="1"/>
        <rFont val="Calibri"/>
        <family val="2"/>
        <scheme val="minor"/>
      </rPr>
      <t xml:space="preserve"> worksheet</t>
    </r>
  </si>
  <si>
    <r>
      <rPr>
        <b/>
        <i/>
        <sz val="12"/>
        <color theme="1"/>
        <rFont val="Calibri"/>
        <family val="2"/>
        <scheme val="minor"/>
      </rPr>
      <t xml:space="preserve">Note: </t>
    </r>
    <r>
      <rPr>
        <i/>
        <sz val="12"/>
        <color theme="1"/>
        <rFont val="Calibri"/>
        <family val="2"/>
        <scheme val="minor"/>
      </rPr>
      <t>Step 4 provides an area to include values of manure, preferably based on a nutrient analysis.  Values can also be adjusted based on selected number of days before manure is expected to be incorporated.  Retention factors used to adjust values are based on 2022 proposed MI GAAMPS charts.</t>
    </r>
  </si>
  <si>
    <t>Based on Nutrient Removal from Nutrient Management tab</t>
  </si>
  <si>
    <r>
      <t xml:space="preserve">Total Nutrient Needs </t>
    </r>
    <r>
      <rPr>
        <b/>
        <sz val="12"/>
        <color theme="1"/>
        <rFont val="Calibri"/>
        <family val="2"/>
        <scheme val="minor"/>
      </rPr>
      <t>(Soil Test)</t>
    </r>
  </si>
  <si>
    <r>
      <t xml:space="preserve">Total Nutrient Needs </t>
    </r>
    <r>
      <rPr>
        <b/>
        <sz val="12"/>
        <color theme="1"/>
        <rFont val="Calibri"/>
        <family val="2"/>
        <scheme val="minor"/>
      </rPr>
      <t>(Nutrient Removal)</t>
    </r>
  </si>
  <si>
    <t>Cu</t>
  </si>
  <si>
    <t>Mo</t>
  </si>
  <si>
    <t>Fe</t>
  </si>
  <si>
    <t>Copper</t>
  </si>
  <si>
    <t>Iron</t>
  </si>
  <si>
    <t>Molybdenum</t>
  </si>
  <si>
    <t>In-season</t>
  </si>
  <si>
    <t>Bacillus thuringiensis</t>
  </si>
  <si>
    <t>Annex LFR</t>
  </si>
  <si>
    <t>At planting/in-season</t>
  </si>
  <si>
    <t>bifenthrin (liquid)</t>
  </si>
  <si>
    <t>Annihilate LV</t>
  </si>
  <si>
    <t>metomyl</t>
  </si>
  <si>
    <t>Annihilate SP</t>
  </si>
  <si>
    <t>Arctic 3.2EC</t>
  </si>
  <si>
    <t>permethrin</t>
  </si>
  <si>
    <t>esfenvalerate</t>
  </si>
  <si>
    <t>Aztec 4.67G or Aztec HC for SmartBox/SmartCartridge</t>
  </si>
  <si>
    <t>At planting</t>
  </si>
  <si>
    <t>tebupirimphos + cyfluthrin</t>
  </si>
  <si>
    <t>cyfluthrin</t>
  </si>
  <si>
    <t>Besiege</t>
  </si>
  <si>
    <t>chlorantraniliprole + lambda-cyhalothrin</t>
  </si>
  <si>
    <t>Bifen2, Bifenthrin 2EC, Bifenture EC, or Bifenture LFC</t>
  </si>
  <si>
    <t>Bifender FC</t>
  </si>
  <si>
    <t>BioBit HP</t>
  </si>
  <si>
    <t>Blackhawk</t>
  </si>
  <si>
    <t>spinosad</t>
  </si>
  <si>
    <t>Capture LFR, Capture 3RIVE3D</t>
  </si>
  <si>
    <t>carbaryl</t>
  </si>
  <si>
    <t>Coragen</t>
  </si>
  <si>
    <t>chlorantraniliprole</t>
  </si>
  <si>
    <t>Corrida 90WSP</t>
  </si>
  <si>
    <t>Counter 20G (Lock'N Load, Smartbox, SmartCartridge)</t>
  </si>
  <si>
    <t>terbufos</t>
  </si>
  <si>
    <t>Deadline GT or Deadline MPs</t>
  </si>
  <si>
    <t>metaldehyde</t>
  </si>
  <si>
    <t>Declare</t>
  </si>
  <si>
    <t>cyhalothrin (gamma)</t>
  </si>
  <si>
    <t>Defecon 4.67G</t>
  </si>
  <si>
    <t>Delta Gold</t>
  </si>
  <si>
    <t>deltamethrin</t>
  </si>
  <si>
    <t>Dimate 4E, Dimethoate 4EC, or Dimethoate 400</t>
  </si>
  <si>
    <t>dimethoate</t>
  </si>
  <si>
    <t>Dipel 10G or Dipel ES</t>
  </si>
  <si>
    <t>Discipline 2EC</t>
  </si>
  <si>
    <t>Emplower2</t>
  </si>
  <si>
    <t>bifenthrin (granular)</t>
  </si>
  <si>
    <t>Evergreen EC 60-6</t>
  </si>
  <si>
    <t>pyrethrins</t>
  </si>
  <si>
    <t>Fanfare EC, Fanfare 2EC, or Fanfare ES</t>
  </si>
  <si>
    <t>Fastac CS or Fastac EC</t>
  </si>
  <si>
    <t>cypermethrin (alpha)</t>
  </si>
  <si>
    <t>Force 6.5G, Force 6.5G for SmartBox/SmartCartridge</t>
  </si>
  <si>
    <t>tefluthrin</t>
  </si>
  <si>
    <t>Fyfanon ULV Ag</t>
  </si>
  <si>
    <t>malathion</t>
  </si>
  <si>
    <t>Grizzly Too</t>
  </si>
  <si>
    <t>cyhalothrin (lambda)</t>
  </si>
  <si>
    <t>Hero, Hero EW</t>
  </si>
  <si>
    <t>bifenthrin + cypermethrin (zeta)</t>
  </si>
  <si>
    <t>Index At-Plant Liquid, Smartchoice HC (Smartbox)</t>
  </si>
  <si>
    <t>chlorethoxyfos + bifenthrin</t>
  </si>
  <si>
    <t>methoxyfenozide</t>
  </si>
  <si>
    <t>Javelin WG</t>
  </si>
  <si>
    <t>Kendo</t>
  </si>
  <si>
    <t>LambdaStar, Lambda-Cy, Lambda-T, Lambda Cy 1EC</t>
  </si>
  <si>
    <t>Lamcap II</t>
  </si>
  <si>
    <t>Lannate SP</t>
  </si>
  <si>
    <t>Malathion 5, Malathion 5EC</t>
  </si>
  <si>
    <t>Mustang, Mustang Maxx</t>
  </si>
  <si>
    <t>cypermethrin (zeta)</t>
  </si>
  <si>
    <t>Nudrin LV</t>
  </si>
  <si>
    <t>Nudrin SP</t>
  </si>
  <si>
    <t>Oberon 25C</t>
  </si>
  <si>
    <t>spiromesifen</t>
  </si>
  <si>
    <t>Onager</t>
  </si>
  <si>
    <t>hexythiazox</t>
  </si>
  <si>
    <t>Paradigm VC</t>
  </si>
  <si>
    <t>Permaster Ag, Perm-Up 3.2EC, or Perm-Up 25DF</t>
  </si>
  <si>
    <t>Pounce 1.5 G</t>
  </si>
  <si>
    <t>Pounce 25WP</t>
  </si>
  <si>
    <t>Prevathon</t>
  </si>
  <si>
    <t>Province II</t>
  </si>
  <si>
    <t>PyGanic EC 1.4 II or Pyganic Specialty</t>
  </si>
  <si>
    <t>spinetoram</t>
  </si>
  <si>
    <t>Sevin 4F or Sevin XLR Plus</t>
  </si>
  <si>
    <t>S-Fenvalostar</t>
  </si>
  <si>
    <t>Sivanto 200SL, Sivanto HL, Sivanto Prime</t>
  </si>
  <si>
    <t>flupyradifurone</t>
  </si>
  <si>
    <t>Sluggo</t>
  </si>
  <si>
    <t>iron phosphate</t>
  </si>
  <si>
    <t>Sniper LFR, Sniper Helios</t>
  </si>
  <si>
    <t>Steward</t>
  </si>
  <si>
    <t>indoxacarb</t>
  </si>
  <si>
    <t>Tombstone or Tombstone Helios</t>
  </si>
  <si>
    <t>Transform WG</t>
  </si>
  <si>
    <t>sulfoxaflor</t>
  </si>
  <si>
    <t>Tundra EC</t>
  </si>
  <si>
    <t>Warrior II</t>
  </si>
  <si>
    <t>Xentari Insecticide</t>
  </si>
  <si>
    <t>Xpendient Plus V</t>
  </si>
  <si>
    <t>Zeal, Zeal WSP, Zeal SC</t>
  </si>
  <si>
    <t>etoxazole</t>
  </si>
  <si>
    <t>Zyrate</t>
  </si>
  <si>
    <t>Acephate 90 Prill, Acephate 90 WDG, Acephate 90 WSP</t>
  </si>
  <si>
    <t>acephate</t>
  </si>
  <si>
    <t>Acephate 97 UP, Acephate 97 WDC</t>
  </si>
  <si>
    <t>Admire Pro</t>
  </si>
  <si>
    <t>imidacloprid</t>
  </si>
  <si>
    <t>Advise Four</t>
  </si>
  <si>
    <t>Agree WG</t>
  </si>
  <si>
    <t>Agri-Mek SC</t>
  </si>
  <si>
    <t>abamectin</t>
  </si>
  <si>
    <t>Alias4F</t>
  </si>
  <si>
    <t>Annihilate LV, Annihilate SP</t>
  </si>
  <si>
    <t>cyfluthrin (beta)</t>
  </si>
  <si>
    <t>Bifen2, Bifenthrin 2EC, Bifenture EC</t>
  </si>
  <si>
    <t>Brigadier</t>
  </si>
  <si>
    <t>bifenthrin + imidacloprid</t>
  </si>
  <si>
    <t>Deadline GT, Deadline MPs</t>
  </si>
  <si>
    <t>Dimate 4E, Dimethoate 4EC, Dimethoate 400</t>
  </si>
  <si>
    <t>Fanfare EC, Fanfare 2EC, Fanfare ES</t>
  </si>
  <si>
    <t>Fastac CS, Fastac EC</t>
  </si>
  <si>
    <t>Hero, Hero EW, Steed</t>
  </si>
  <si>
    <t>Kendo, Kendo 22.8CS</t>
  </si>
  <si>
    <t>Lannate LV, Lannate SP</t>
  </si>
  <si>
    <t>cyfluthrin + imidacloprid</t>
  </si>
  <si>
    <t>Montana4F</t>
  </si>
  <si>
    <t>Nudrin LV, Nudrin SP</t>
  </si>
  <si>
    <t>Nuprid4F Max, Wrangler Nuprid 2SC</t>
  </si>
  <si>
    <t>Permaster Ag, Perm-Up 3.2EC, Perm-Up 25DF</t>
  </si>
  <si>
    <t>Prey 1.6</t>
  </si>
  <si>
    <t>PyGanic EC 1.4 II, Pyganic Specialty</t>
  </si>
  <si>
    <t>Renestra</t>
  </si>
  <si>
    <t>cypermethrin + afidopyropen</t>
  </si>
  <si>
    <t>Sefina</t>
  </si>
  <si>
    <t>afidopyropen</t>
  </si>
  <si>
    <t>Sevin 4F, Sevin XLR Plus</t>
  </si>
  <si>
    <t>Sherpa</t>
  </si>
  <si>
    <t>Skyraider</t>
  </si>
  <si>
    <t>Swagger</t>
  </si>
  <si>
    <t>Tombstone, Tombstone Helios</t>
  </si>
  <si>
    <t>Zeal SC, Zeal Pro</t>
  </si>
  <si>
    <t>Dipel ES</t>
  </si>
  <si>
    <t>Vantacor</t>
  </si>
  <si>
    <t>Xentari</t>
  </si>
  <si>
    <t>Other Income</t>
  </si>
  <si>
    <t>Total Other Income</t>
  </si>
  <si>
    <r>
      <t xml:space="preserve">Break-even $$/Bushel </t>
    </r>
    <r>
      <rPr>
        <i/>
        <sz val="12"/>
        <color theme="1"/>
        <rFont val="Calibri"/>
        <family val="2"/>
        <scheme val="minor"/>
      </rPr>
      <t>(Farm Only)</t>
    </r>
  </si>
  <si>
    <r>
      <t xml:space="preserve">Break-even $$/Bushel </t>
    </r>
    <r>
      <rPr>
        <i/>
        <sz val="12"/>
        <color theme="1"/>
        <rFont val="Calibri"/>
        <family val="2"/>
        <scheme val="minor"/>
      </rPr>
      <t>(w/ Other Income)</t>
    </r>
  </si>
  <si>
    <r>
      <t xml:space="preserve">Break-even Yield/Acre </t>
    </r>
    <r>
      <rPr>
        <i/>
        <sz val="12"/>
        <color theme="1"/>
        <rFont val="Calibri"/>
        <family val="2"/>
        <scheme val="minor"/>
      </rPr>
      <t>(Farm Only)</t>
    </r>
  </si>
  <si>
    <r>
      <t xml:space="preserve">Break-even Yield/Acre </t>
    </r>
    <r>
      <rPr>
        <i/>
        <sz val="12"/>
        <color theme="1"/>
        <rFont val="Calibri"/>
        <family val="2"/>
        <scheme val="minor"/>
      </rPr>
      <t>(w/ Other Income)</t>
    </r>
  </si>
  <si>
    <t>Miscellaneous Other Income</t>
  </si>
  <si>
    <t>Totals Gov't Pmts, Insurance, &amp; Miscellaneous Other Income</t>
  </si>
  <si>
    <t>This tab contains an area to input revenues received from various Government Programs, Insurance, and Other Income sources.</t>
  </si>
  <si>
    <t>https://crop-protection-network.s3.amazonaws.com/publications/fungicide-efficacy-for-control-of-corn-diseases-filename-2020-03-18-150007.pdf</t>
  </si>
  <si>
    <t>https://www.canr.msu.edu/resources/insect-guide-for-field-corn</t>
  </si>
  <si>
    <t>https://www.canr.msu.edu/resources/insect-guide-for-soybeans</t>
  </si>
  <si>
    <t>Link to MSU OSU Insect Guide for Corn</t>
  </si>
  <si>
    <t>Link to MSU OSU Insect Guide for Soybeans</t>
  </si>
  <si>
    <t>For more information on Insecticides for Corn:</t>
  </si>
  <si>
    <t>For more information on Insecticides for Soybeans:</t>
  </si>
  <si>
    <t>For more information on Insecticides for Wheat:</t>
  </si>
  <si>
    <t>Link to MSU OSU Insect Guide for Wheat</t>
  </si>
  <si>
    <t>MSU Bulletin E-2904, Nutrient Recommendations for Field Crops in Michigan - In process of updating (8/20/24)</t>
  </si>
  <si>
    <t>Purchase Quantity</t>
  </si>
  <si>
    <t>Product Unit</t>
  </si>
  <si>
    <t>Product Purchase List (Corn)</t>
  </si>
  <si>
    <t>Fertilizer Product (Macronutrients)</t>
  </si>
  <si>
    <t>Fertilizer Product (Micronutrients)</t>
  </si>
  <si>
    <t>Fertilizer Product (Lime)</t>
  </si>
  <si>
    <t>Fertilizer Product Purchase List (Corn)</t>
  </si>
  <si>
    <t>Chemical Product Purchase List (Corn)</t>
  </si>
  <si>
    <t>Chemical Product (Pre-Emergent Herbicides)</t>
  </si>
  <si>
    <t>Chemical Product (Post-Emergent Herbicides)</t>
  </si>
  <si>
    <t>Chemical Product (Fungicides)</t>
  </si>
  <si>
    <t>Chemical Product (Insecticides)</t>
  </si>
  <si>
    <t>Chemical Product (Adjuvants)</t>
  </si>
  <si>
    <t>Pre-Emergent Herbicides</t>
  </si>
  <si>
    <t>Post-Emergent Herbicides</t>
  </si>
  <si>
    <t>Fertilizer Product Purchase List (Wheat)</t>
  </si>
  <si>
    <t>Chemical Product Purchase List (Wheat)</t>
  </si>
  <si>
    <t>Fertilizer Product Purchase List (Soybeans)</t>
  </si>
  <si>
    <t>Chemical Product Purchase List (Soybeans)</t>
  </si>
  <si>
    <t>Product Purchase List (per crop)</t>
  </si>
  <si>
    <t xml:space="preserve">These are a series of tabs that will total the amount of product you will need to complete your Chemical and Fertilizer Plans. The intent is that these tabs can be printed and taken to your local farm retailer to help in securing your farm's chemical and fertilizer needs. </t>
  </si>
  <si>
    <t>New In This Version</t>
  </si>
  <si>
    <t>Version 12.0</t>
  </si>
  <si>
    <t>Updated In This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</si>
</sst>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0.0"/>
    <numFmt numFmtId="167" formatCode="0.0%"/>
    <numFmt numFmtId="168" formatCode="_(* #,##0_);_(* \(#,##0\);_(* &quot;-&quot;??_);_(@_)"/>
  </numFmts>
  <fonts count="84">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1"/>
      <color rgb="FFFF0000"/>
      <name val="Calibri"/>
      <family val="2"/>
      <scheme val="minor"/>
    </font>
    <font>
      <b/>
      <sz val="11"/>
      <name val="Calibri"/>
      <family val="2"/>
      <scheme val="minor"/>
    </font>
    <font>
      <b/>
      <sz val="14"/>
      <color theme="1"/>
      <name val="Calibri"/>
      <family val="2"/>
      <scheme val="minor"/>
    </font>
    <font>
      <b/>
      <sz val="16"/>
      <color theme="1"/>
      <name val="Calibri"/>
      <family val="2"/>
      <scheme val="minor"/>
    </font>
    <font>
      <b/>
      <sz val="12"/>
      <name val="Calibri"/>
      <family val="2"/>
      <scheme val="minor"/>
    </font>
    <font>
      <b/>
      <sz val="12"/>
      <color theme="1"/>
      <name val="Calibri"/>
      <family val="2"/>
      <scheme val="minor"/>
    </font>
    <font>
      <sz val="12"/>
      <color rgb="FFFF0000"/>
      <name val="Calibri"/>
      <family val="2"/>
      <scheme val="minor"/>
    </font>
    <font>
      <b/>
      <i/>
      <sz val="12"/>
      <color theme="1"/>
      <name val="Calibri"/>
      <family val="2"/>
      <scheme val="minor"/>
    </font>
    <font>
      <b/>
      <sz val="12"/>
      <color rgb="FFFF0000"/>
      <name val="Calibri"/>
      <family val="2"/>
      <scheme val="minor"/>
    </font>
    <font>
      <sz val="10"/>
      <color theme="1"/>
      <name val="Calibri"/>
      <family val="2"/>
      <scheme val="minor"/>
    </font>
    <font>
      <sz val="14"/>
      <color theme="1"/>
      <name val="Calibri"/>
      <family val="2"/>
      <scheme val="minor"/>
    </font>
    <font>
      <b/>
      <sz val="14"/>
      <name val="Calibri"/>
      <family val="2"/>
      <scheme val="minor"/>
    </font>
    <font>
      <sz val="14"/>
      <color rgb="FFFF0000"/>
      <name val="Calibri"/>
      <family val="2"/>
      <scheme val="minor"/>
    </font>
    <font>
      <sz val="26"/>
      <color theme="1"/>
      <name val="Calibri"/>
      <family val="2"/>
      <scheme val="minor"/>
    </font>
    <font>
      <sz val="14"/>
      <name val="Calibri"/>
      <family val="2"/>
      <scheme val="minor"/>
    </font>
    <font>
      <b/>
      <sz val="20"/>
      <color theme="0"/>
      <name val="Calibri"/>
      <family val="2"/>
      <scheme val="minor"/>
    </font>
    <font>
      <b/>
      <sz val="14"/>
      <color theme="0"/>
      <name val="Calibri"/>
      <family val="2"/>
      <scheme val="minor"/>
    </font>
    <font>
      <sz val="13"/>
      <color rgb="FF191919"/>
      <name val="Georgia"/>
      <family val="1"/>
    </font>
    <font>
      <b/>
      <sz val="16"/>
      <color theme="0"/>
      <name val="Calibri"/>
      <family val="2"/>
      <scheme val="minor"/>
    </font>
    <font>
      <sz val="12"/>
      <name val="Calibri"/>
      <family val="2"/>
      <scheme val="minor"/>
    </font>
    <font>
      <b/>
      <sz val="12"/>
      <color theme="0"/>
      <name val="Calibri"/>
      <family val="2"/>
      <scheme val="minor"/>
    </font>
    <font>
      <sz val="11"/>
      <name val="Calibri"/>
      <family val="2"/>
      <scheme val="minor"/>
    </font>
    <font>
      <sz val="11"/>
      <color theme="4" tint="-0.249977111117893"/>
      <name val="Calibri"/>
      <family val="2"/>
      <scheme val="minor"/>
    </font>
    <font>
      <sz val="10"/>
      <color rgb="FFFF0000"/>
      <name val="Calibri"/>
      <family val="2"/>
      <scheme val="minor"/>
    </font>
    <font>
      <i/>
      <sz val="12"/>
      <color theme="1"/>
      <name val="Calibri"/>
      <family val="2"/>
      <scheme val="minor"/>
    </font>
    <font>
      <sz val="12"/>
      <color theme="4" tint="-0.249977111117893"/>
      <name val="Calibri"/>
      <family val="2"/>
      <scheme val="minor"/>
    </font>
    <font>
      <sz val="8"/>
      <color theme="4" tint="-0.249977111117893"/>
      <name val="Calibri"/>
      <family val="2"/>
      <scheme val="minor"/>
    </font>
    <font>
      <b/>
      <sz val="12"/>
      <color theme="4" tint="-0.249977111117893"/>
      <name val="Calibri"/>
      <family val="2"/>
      <scheme val="minor"/>
    </font>
    <font>
      <b/>
      <sz val="11"/>
      <color theme="4" tint="-0.249977111117893"/>
      <name val="Calibri"/>
      <family val="2"/>
      <scheme val="minor"/>
    </font>
    <font>
      <b/>
      <i/>
      <sz val="12"/>
      <name val="Calibri"/>
      <family val="2"/>
      <scheme val="minor"/>
    </font>
    <font>
      <sz val="10"/>
      <color theme="4" tint="-0.249977111117893"/>
      <name val="Calibri"/>
      <family val="2"/>
      <scheme val="minor"/>
    </font>
    <font>
      <b/>
      <sz val="18"/>
      <color theme="0"/>
      <name val="Calibri"/>
      <family val="2"/>
      <scheme val="minor"/>
    </font>
    <font>
      <sz val="14"/>
      <color theme="6" tint="0.59999389629810485"/>
      <name val="Calibri"/>
      <family val="2"/>
      <scheme val="minor"/>
    </font>
    <font>
      <i/>
      <sz val="12"/>
      <name val="Calibri"/>
      <family val="2"/>
      <scheme val="minor"/>
    </font>
    <font>
      <b/>
      <i/>
      <sz val="12"/>
      <color theme="4" tint="-0.249977111117893"/>
      <name val="Calibri"/>
      <family val="2"/>
      <scheme val="minor"/>
    </font>
    <font>
      <b/>
      <sz val="12"/>
      <color theme="9" tint="-0.249977111117893"/>
      <name val="Calibri"/>
      <family val="2"/>
      <scheme val="minor"/>
    </font>
    <font>
      <b/>
      <u/>
      <sz val="12"/>
      <color theme="1"/>
      <name val="Calibri"/>
      <family val="2"/>
      <scheme val="minor"/>
    </font>
    <font>
      <b/>
      <u/>
      <sz val="12"/>
      <color theme="4" tint="-0.249977111117893"/>
      <name val="Calibri"/>
      <family val="2"/>
      <scheme val="minor"/>
    </font>
    <font>
      <sz val="20"/>
      <color theme="1"/>
      <name val="Calibri"/>
      <family val="2"/>
      <scheme val="minor"/>
    </font>
    <font>
      <b/>
      <i/>
      <sz val="10"/>
      <color theme="4" tint="-0.249977111117893"/>
      <name val="Calibri"/>
      <family val="2"/>
      <scheme val="minor"/>
    </font>
    <font>
      <b/>
      <i/>
      <sz val="12"/>
      <color theme="9" tint="-0.249977111117893"/>
      <name val="Calibri"/>
      <family val="2"/>
      <scheme val="minor"/>
    </font>
    <font>
      <b/>
      <sz val="28"/>
      <color rgb="FF0DB14B"/>
      <name val="Symbol"/>
      <family val="1"/>
      <charset val="2"/>
    </font>
    <font>
      <b/>
      <sz val="12"/>
      <color rgb="FF0DB14B"/>
      <name val="Calibri"/>
      <family val="2"/>
      <scheme val="minor"/>
    </font>
    <font>
      <u/>
      <sz val="11"/>
      <color theme="10"/>
      <name val="Calibri"/>
      <family val="2"/>
      <scheme val="minor"/>
    </font>
    <font>
      <b/>
      <i/>
      <sz val="11"/>
      <color rgb="FFFF0000"/>
      <name val="Calibri"/>
      <family val="2"/>
      <scheme val="minor"/>
    </font>
    <font>
      <b/>
      <i/>
      <sz val="12"/>
      <color rgb="FF18453B"/>
      <name val="Calibri"/>
      <family val="2"/>
      <scheme val="minor"/>
    </font>
    <font>
      <b/>
      <i/>
      <sz val="10"/>
      <color rgb="FF18453B"/>
      <name val="Calibri"/>
      <family val="2"/>
      <scheme val="minor"/>
    </font>
    <font>
      <i/>
      <sz val="12"/>
      <color rgb="FF18453B"/>
      <name val="Calibri"/>
      <family val="2"/>
      <scheme val="minor"/>
    </font>
    <font>
      <i/>
      <sz val="10"/>
      <color rgb="FF18453B"/>
      <name val="Calibri"/>
      <family val="2"/>
      <scheme val="minor"/>
    </font>
    <font>
      <b/>
      <sz val="11"/>
      <color theme="4"/>
      <name val="Calibri"/>
      <family val="2"/>
      <scheme val="minor"/>
    </font>
    <font>
      <b/>
      <i/>
      <sz val="12"/>
      <color theme="0"/>
      <name val="Calibri"/>
      <family val="2"/>
      <scheme val="minor"/>
    </font>
    <font>
      <b/>
      <sz val="14"/>
      <color theme="4" tint="-0.249977111117893"/>
      <name val="Calibri"/>
      <family val="2"/>
      <scheme val="minor"/>
    </font>
    <font>
      <sz val="14"/>
      <color theme="4" tint="-0.249977111117893"/>
      <name val="Calibri"/>
      <family val="2"/>
      <scheme val="minor"/>
    </font>
    <font>
      <i/>
      <sz val="14"/>
      <color theme="1"/>
      <name val="Calibri"/>
      <family val="2"/>
      <scheme val="minor"/>
    </font>
    <font>
      <i/>
      <sz val="14"/>
      <name val="Calibri"/>
      <family val="2"/>
      <scheme val="minor"/>
    </font>
    <font>
      <b/>
      <i/>
      <sz val="14"/>
      <color rgb="FF18453B"/>
      <name val="Calibri"/>
      <family val="2"/>
      <scheme val="minor"/>
    </font>
    <font>
      <b/>
      <i/>
      <sz val="14"/>
      <color theme="1"/>
      <name val="Calibri"/>
      <family val="2"/>
      <scheme val="minor"/>
    </font>
    <font>
      <sz val="12"/>
      <color theme="1"/>
      <name val="Calibri"/>
      <family val="1"/>
      <charset val="2"/>
      <scheme val="minor"/>
    </font>
    <font>
      <sz val="12"/>
      <color theme="1"/>
      <name val="Symbol"/>
      <family val="1"/>
      <charset val="2"/>
    </font>
    <font>
      <sz val="12"/>
      <color theme="1"/>
      <name val="Calibri"/>
      <family val="2"/>
    </font>
    <font>
      <u/>
      <sz val="12"/>
      <color theme="10"/>
      <name val="Calibri"/>
      <family val="2"/>
      <scheme val="minor"/>
    </font>
    <font>
      <b/>
      <sz val="14"/>
      <color rgb="FF0DB14B"/>
      <name val="Calibri"/>
      <family val="2"/>
      <scheme val="minor"/>
    </font>
    <font>
      <b/>
      <sz val="14"/>
      <color rgb="FF0DB14B"/>
      <name val="Symbol"/>
      <family val="1"/>
      <charset val="2"/>
    </font>
    <font>
      <sz val="8"/>
      <name val="Calibri"/>
      <family val="2"/>
      <scheme val="minor"/>
    </font>
    <font>
      <b/>
      <sz val="11"/>
      <color theme="0"/>
      <name val="Calibri"/>
      <family val="2"/>
      <scheme val="minor"/>
    </font>
    <font>
      <b/>
      <sz val="10"/>
      <color theme="1"/>
      <name val="Calibri"/>
      <family val="2"/>
      <scheme val="minor"/>
    </font>
    <font>
      <b/>
      <sz val="12"/>
      <color rgb="FF0070C0"/>
      <name val="Calibri"/>
      <family val="2"/>
      <scheme val="minor"/>
    </font>
    <font>
      <i/>
      <sz val="11"/>
      <color theme="1"/>
      <name val="Calibri"/>
      <family val="2"/>
      <scheme val="minor"/>
    </font>
    <font>
      <i/>
      <sz val="11"/>
      <name val="Calibri"/>
      <family val="2"/>
      <scheme val="minor"/>
    </font>
    <font>
      <b/>
      <sz val="12"/>
      <color rgb="FF0DB14B"/>
      <name val="Symbol"/>
      <family val="1"/>
      <charset val="2"/>
    </font>
    <font>
      <sz val="20"/>
      <color theme="0"/>
      <name val="Calibri"/>
      <family val="2"/>
      <scheme val="minor"/>
    </font>
    <font>
      <b/>
      <sz val="22"/>
      <color theme="0"/>
      <name val="Calibri"/>
      <family val="2"/>
      <scheme val="minor"/>
    </font>
    <font>
      <b/>
      <sz val="12"/>
      <color rgb="FF18453B"/>
      <name val="Calibri"/>
      <family val="2"/>
      <scheme val="minor"/>
    </font>
    <font>
      <u/>
      <sz val="14"/>
      <color theme="1"/>
      <name val="Calibri"/>
      <family val="2"/>
      <scheme val="minor"/>
    </font>
    <font>
      <u/>
      <sz val="12"/>
      <color theme="1"/>
      <name val="Calibri"/>
      <family val="2"/>
      <scheme val="minor"/>
    </font>
    <font>
      <b/>
      <u/>
      <sz val="14"/>
      <color theme="1"/>
      <name val="Calibri"/>
      <family val="2"/>
      <scheme val="minor"/>
    </font>
    <font>
      <u/>
      <sz val="14"/>
      <color theme="10"/>
      <name val="Calibri"/>
      <family val="2"/>
      <scheme val="minor"/>
    </font>
    <font>
      <sz val="10"/>
      <color theme="1"/>
      <name val="Calibri"/>
      <family val="2"/>
    </font>
    <font>
      <b/>
      <u/>
      <sz val="11"/>
      <color theme="1"/>
      <name val="Calibri"/>
      <family val="2"/>
      <scheme val="minor"/>
    </font>
    <font>
      <sz val="12"/>
      <color rgb="FF131313"/>
      <name val="Calibri"/>
      <family val="2"/>
      <scheme val="minor"/>
    </font>
  </fonts>
  <fills count="17">
    <fill>
      <patternFill patternType="none"/>
    </fill>
    <fill>
      <patternFill patternType="gray125"/>
    </fill>
    <fill>
      <patternFill patternType="solid">
        <fgColor theme="9"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DB14B"/>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rgb="FF0070C0"/>
        <bgColor indexed="64"/>
      </patternFill>
    </fill>
    <fill>
      <patternFill patternType="solid">
        <fgColor rgb="FF18453B"/>
        <bgColor indexed="64"/>
      </patternFill>
    </fill>
    <fill>
      <patternFill patternType="solid">
        <fgColor rgb="FF7030A0"/>
        <bgColor indexed="64"/>
      </patternFill>
    </fill>
    <fill>
      <patternFill patternType="solid">
        <fgColor rgb="FF00B050"/>
        <bgColor indexed="64"/>
      </patternFill>
    </fill>
  </fills>
  <borders count="7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7" fillId="0" borderId="0" applyNumberFormat="0" applyFill="0" applyBorder="0" applyAlignment="0" applyProtection="0"/>
  </cellStyleXfs>
  <cellXfs count="1022">
    <xf numFmtId="0" fontId="0" fillId="0" borderId="0" xfId="0"/>
    <xf numFmtId="44" fontId="0" fillId="0" borderId="0" xfId="0" applyNumberFormat="1"/>
    <xf numFmtId="0" fontId="3" fillId="0" borderId="0" xfId="0" applyFont="1"/>
    <xf numFmtId="2" fontId="0" fillId="0" borderId="0" xfId="0" applyNumberFormat="1"/>
    <xf numFmtId="0" fontId="0" fillId="0" borderId="0" xfId="0" applyAlignment="1">
      <alignment horizontal="center"/>
    </xf>
    <xf numFmtId="49" fontId="0" fillId="0" borderId="0" xfId="0" applyNumberFormat="1" applyAlignment="1">
      <alignment horizontal="center"/>
    </xf>
    <xf numFmtId="0" fontId="0" fillId="0" borderId="0" xfId="0" applyProtection="1">
      <protection locked="0"/>
    </xf>
    <xf numFmtId="0" fontId="0" fillId="0" borderId="5" xfId="0" applyBorder="1"/>
    <xf numFmtId="0" fontId="10" fillId="0" borderId="0" xfId="0" applyFont="1" applyAlignment="1">
      <alignment horizontal="center"/>
    </xf>
    <xf numFmtId="0" fontId="5" fillId="0" borderId="0" xfId="0" applyFont="1" applyProtection="1">
      <protection locked="0"/>
    </xf>
    <xf numFmtId="0" fontId="25" fillId="0" borderId="0" xfId="0" applyFont="1" applyProtection="1">
      <protection locked="0"/>
    </xf>
    <xf numFmtId="0" fontId="9"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44" fontId="3" fillId="0" borderId="0" xfId="1" applyFont="1" applyFill="1" applyBorder="1" applyAlignment="1" applyProtection="1">
      <alignment horizontal="center"/>
      <protection locked="0"/>
    </xf>
    <xf numFmtId="44" fontId="3" fillId="0" borderId="5" xfId="1" applyFont="1" applyFill="1" applyBorder="1" applyAlignment="1" applyProtection="1">
      <alignment horizontal="right"/>
      <protection locked="0"/>
    </xf>
    <xf numFmtId="44" fontId="3" fillId="0" borderId="0" xfId="1" applyFont="1" applyFill="1" applyBorder="1" applyAlignment="1" applyProtection="1">
      <alignment horizontal="right"/>
      <protection locked="0"/>
    </xf>
    <xf numFmtId="0" fontId="3" fillId="0" borderId="0" xfId="0" applyFont="1" applyAlignment="1" applyProtection="1">
      <alignment horizontal="righ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3" fillId="0" borderId="4" xfId="0" applyFont="1" applyBorder="1"/>
    <xf numFmtId="0" fontId="3" fillId="0" borderId="0" xfId="0" applyFont="1" applyAlignment="1">
      <alignment horizontal="left"/>
    </xf>
    <xf numFmtId="0" fontId="5" fillId="0" borderId="31" xfId="0" applyFont="1" applyBorder="1" applyAlignment="1">
      <alignment horizontal="center"/>
    </xf>
    <xf numFmtId="44" fontId="9" fillId="0" borderId="31" xfId="1" applyFont="1" applyFill="1" applyBorder="1" applyProtection="1"/>
    <xf numFmtId="44" fontId="3" fillId="0" borderId="31" xfId="1" applyFont="1" applyFill="1" applyBorder="1" applyProtection="1"/>
    <xf numFmtId="165" fontId="9" fillId="0" borderId="31" xfId="1" applyNumberFormat="1" applyFont="1" applyFill="1" applyBorder="1" applyAlignment="1" applyProtection="1">
      <alignment horizontal="center"/>
    </xf>
    <xf numFmtId="165" fontId="9" fillId="0" borderId="30" xfId="1" applyNumberFormat="1" applyFont="1" applyFill="1" applyBorder="1" applyAlignment="1" applyProtection="1">
      <alignment horizontal="center"/>
    </xf>
    <xf numFmtId="44" fontId="10" fillId="0" borderId="31" xfId="1" applyFont="1" applyFill="1" applyBorder="1" applyAlignment="1" applyProtection="1">
      <alignment horizontal="center"/>
    </xf>
    <xf numFmtId="0" fontId="5" fillId="0" borderId="18" xfId="0" applyFont="1" applyBorder="1" applyAlignment="1">
      <alignment horizontal="center"/>
    </xf>
    <xf numFmtId="44" fontId="9" fillId="0" borderId="30" xfId="1" applyFont="1" applyFill="1" applyBorder="1" applyProtection="1"/>
    <xf numFmtId="2" fontId="30" fillId="0" borderId="31" xfId="0" applyNumberFormat="1" applyFont="1" applyBorder="1" applyAlignment="1">
      <alignment horizontal="center"/>
    </xf>
    <xf numFmtId="0" fontId="13" fillId="0" borderId="4" xfId="0" applyFont="1" applyBorder="1" applyAlignment="1">
      <alignment horizontal="left" indent="3"/>
    </xf>
    <xf numFmtId="0" fontId="3" fillId="0" borderId="12" xfId="0" applyFont="1" applyBorder="1"/>
    <xf numFmtId="0" fontId="3" fillId="0" borderId="13" xfId="0" applyFont="1" applyBorder="1" applyAlignment="1">
      <alignment horizontal="left"/>
    </xf>
    <xf numFmtId="0" fontId="0" fillId="0" borderId="6" xfId="0"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xf>
    <xf numFmtId="0" fontId="12" fillId="0" borderId="4" xfId="0" applyFont="1" applyBorder="1" applyAlignment="1">
      <alignment horizontal="center"/>
    </xf>
    <xf numFmtId="0" fontId="12" fillId="0" borderId="0" xfId="0" applyFont="1" applyAlignment="1">
      <alignment horizontal="center"/>
    </xf>
    <xf numFmtId="44" fontId="3" fillId="0" borderId="0" xfId="1" applyFont="1" applyFill="1" applyBorder="1" applyAlignment="1" applyProtection="1">
      <alignment horizontal="center"/>
    </xf>
    <xf numFmtId="44" fontId="12" fillId="0" borderId="0" xfId="1" applyFont="1" applyFill="1" applyBorder="1" applyAlignment="1" applyProtection="1">
      <alignment horizontal="right"/>
    </xf>
    <xf numFmtId="0" fontId="3" fillId="0" borderId="0" xfId="1" applyNumberFormat="1" applyFont="1" applyFill="1" applyBorder="1" applyAlignment="1" applyProtection="1">
      <alignment horizontal="center"/>
    </xf>
    <xf numFmtId="2" fontId="10" fillId="0" borderId="0" xfId="0" applyNumberFormat="1" applyFont="1" applyAlignment="1">
      <alignment horizontal="right"/>
    </xf>
    <xf numFmtId="44" fontId="3" fillId="0" borderId="5" xfId="1" applyFont="1" applyFill="1" applyBorder="1" applyAlignment="1" applyProtection="1">
      <alignment horizontal="right"/>
    </xf>
    <xf numFmtId="44" fontId="3" fillId="0" borderId="0" xfId="1" applyFont="1" applyFill="1" applyBorder="1" applyAlignment="1" applyProtection="1">
      <alignment horizontal="right"/>
    </xf>
    <xf numFmtId="0" fontId="12" fillId="0" borderId="4" xfId="0" applyFont="1" applyBorder="1" applyAlignment="1">
      <alignment horizontal="right"/>
    </xf>
    <xf numFmtId="0" fontId="12" fillId="0" borderId="0" xfId="0" applyFont="1" applyAlignment="1">
      <alignment horizontal="right"/>
    </xf>
    <xf numFmtId="0" fontId="3" fillId="0" borderId="0" xfId="0" applyFont="1" applyAlignment="1">
      <alignment horizontal="right"/>
    </xf>
    <xf numFmtId="0" fontId="10" fillId="0" borderId="0" xfId="0" applyFont="1" applyAlignment="1">
      <alignment horizontal="right"/>
    </xf>
    <xf numFmtId="2" fontId="10" fillId="0" borderId="0" xfId="1" applyNumberFormat="1" applyFont="1" applyFill="1" applyBorder="1" applyAlignment="1" applyProtection="1">
      <alignment horizontal="right"/>
    </xf>
    <xf numFmtId="44" fontId="31" fillId="0" borderId="0" xfId="1" applyFont="1" applyFill="1" applyBorder="1" applyAlignment="1" applyProtection="1">
      <alignment horizontal="right"/>
    </xf>
    <xf numFmtId="2" fontId="29" fillId="0" borderId="0" xfId="0" applyNumberFormat="1" applyFont="1" applyAlignment="1">
      <alignment horizontal="right"/>
    </xf>
    <xf numFmtId="1" fontId="9" fillId="0" borderId="4" xfId="0" applyNumberFormat="1" applyFont="1" applyBorder="1" applyAlignment="1">
      <alignment horizontal="center"/>
    </xf>
    <xf numFmtId="1" fontId="9" fillId="0" borderId="0" xfId="0" applyNumberFormat="1" applyFont="1" applyAlignment="1">
      <alignment horizontal="center"/>
    </xf>
    <xf numFmtId="0" fontId="3" fillId="0" borderId="0" xfId="0" applyFont="1" applyAlignment="1">
      <alignment horizontal="center"/>
    </xf>
    <xf numFmtId="0" fontId="3" fillId="0" borderId="5" xfId="0" applyFont="1" applyBorder="1"/>
    <xf numFmtId="0" fontId="17" fillId="0" borderId="0" xfId="0" applyFont="1" applyProtection="1">
      <protection locked="0"/>
    </xf>
    <xf numFmtId="0" fontId="3" fillId="0" borderId="0" xfId="0" applyFont="1" applyProtection="1">
      <protection locked="0"/>
    </xf>
    <xf numFmtId="0" fontId="9" fillId="0" borderId="0" xfId="0" applyFont="1" applyAlignment="1">
      <alignment horizontal="center"/>
    </xf>
    <xf numFmtId="2" fontId="9" fillId="0" borderId="0" xfId="0" applyNumberFormat="1" applyFont="1" applyAlignment="1">
      <alignment horizontal="center"/>
    </xf>
    <xf numFmtId="8" fontId="0" fillId="0" borderId="0" xfId="0" applyNumberFormat="1" applyProtection="1">
      <protection locked="0"/>
    </xf>
    <xf numFmtId="0" fontId="2" fillId="0" borderId="0" xfId="0" applyFont="1"/>
    <xf numFmtId="0" fontId="0" fillId="0" borderId="4" xfId="0" applyBorder="1"/>
    <xf numFmtId="8" fontId="0" fillId="0" borderId="0" xfId="0" applyNumberFormat="1"/>
    <xf numFmtId="0" fontId="0" fillId="0" borderId="13" xfId="0" applyBorder="1"/>
    <xf numFmtId="0" fontId="0" fillId="0" borderId="12" xfId="0" applyBorder="1"/>
    <xf numFmtId="0" fontId="25" fillId="0" borderId="0" xfId="0" applyFont="1"/>
    <xf numFmtId="0" fontId="2" fillId="0" borderId="8" xfId="0" applyFont="1" applyBorder="1" applyAlignment="1">
      <alignment horizontal="center"/>
    </xf>
    <xf numFmtId="8" fontId="8" fillId="0" borderId="0" xfId="1" applyNumberFormat="1" applyFont="1" applyFill="1" applyBorder="1" applyAlignment="1" applyProtection="1">
      <alignment horizontal="center"/>
    </xf>
    <xf numFmtId="0" fontId="4" fillId="0" borderId="0" xfId="0" applyFont="1" applyAlignment="1">
      <alignment horizontal="center"/>
    </xf>
    <xf numFmtId="44" fontId="3" fillId="0" borderId="0" xfId="1" applyFont="1" applyFill="1" applyBorder="1" applyProtection="1"/>
    <xf numFmtId="8" fontId="8" fillId="0" borderId="0" xfId="0" applyNumberFormat="1" applyFont="1" applyAlignment="1">
      <alignment horizontal="center"/>
    </xf>
    <xf numFmtId="2" fontId="34" fillId="0" borderId="0" xfId="0" applyNumberFormat="1" applyFont="1" applyAlignment="1" applyProtection="1">
      <alignment horizontal="right"/>
      <protection locked="0"/>
    </xf>
    <xf numFmtId="2" fontId="34" fillId="0" borderId="0" xfId="0" applyNumberFormat="1" applyFont="1" applyAlignment="1" applyProtection="1">
      <alignment horizontal="center"/>
      <protection locked="0"/>
    </xf>
    <xf numFmtId="2" fontId="34" fillId="0" borderId="0" xfId="0" applyNumberFormat="1" applyFont="1" applyAlignment="1">
      <alignment horizontal="center"/>
    </xf>
    <xf numFmtId="49" fontId="2" fillId="0" borderId="0" xfId="0" applyNumberFormat="1" applyFont="1" applyAlignment="1">
      <alignment horizontal="center"/>
    </xf>
    <xf numFmtId="2" fontId="0" fillId="0" borderId="0" xfId="0" applyNumberFormat="1" applyAlignment="1">
      <alignment horizontal="center"/>
    </xf>
    <xf numFmtId="166" fontId="2" fillId="0" borderId="0" xfId="0" applyNumberFormat="1" applyFont="1" applyAlignment="1">
      <alignment horizontal="center"/>
    </xf>
    <xf numFmtId="166" fontId="0" fillId="0" borderId="0" xfId="0" applyNumberFormat="1"/>
    <xf numFmtId="0" fontId="21" fillId="0" borderId="0" xfId="0" applyFont="1"/>
    <xf numFmtId="0" fontId="18" fillId="0" borderId="19" xfId="0" applyFont="1" applyBorder="1" applyAlignment="1" applyProtection="1">
      <alignment horizontal="center"/>
      <protection locked="0"/>
    </xf>
    <xf numFmtId="0" fontId="18" fillId="0" borderId="5" xfId="0" applyFont="1" applyBorder="1" applyAlignment="1" applyProtection="1">
      <alignment horizontal="center"/>
      <protection locked="0"/>
    </xf>
    <xf numFmtId="0" fontId="15" fillId="0" borderId="0" xfId="0" applyFont="1" applyAlignment="1" applyProtection="1">
      <alignment horizontal="center"/>
      <protection locked="0"/>
    </xf>
    <xf numFmtId="0" fontId="15" fillId="0" borderId="18" xfId="0" applyFont="1" applyBorder="1" applyAlignment="1" applyProtection="1">
      <alignment horizontal="center"/>
      <protection locked="0"/>
    </xf>
    <xf numFmtId="0" fontId="14" fillId="0" borderId="19" xfId="0" applyFont="1" applyBorder="1" applyAlignment="1" applyProtection="1">
      <alignment horizontal="center"/>
      <protection locked="0"/>
    </xf>
    <xf numFmtId="0" fontId="6" fillId="0" borderId="18"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15" fillId="0" borderId="21" xfId="0" applyFont="1" applyBorder="1" applyAlignment="1" applyProtection="1">
      <alignment horizontal="center"/>
      <protection locked="0"/>
    </xf>
    <xf numFmtId="0" fontId="15" fillId="0" borderId="9" xfId="0" applyFont="1" applyBorder="1" applyAlignment="1" applyProtection="1">
      <alignment horizontal="center"/>
      <protection locked="0"/>
    </xf>
    <xf numFmtId="2" fontId="6" fillId="0" borderId="0" xfId="0" applyNumberFormat="1" applyFont="1" applyAlignment="1" applyProtection="1">
      <alignment horizontal="center"/>
      <protection locked="0"/>
    </xf>
    <xf numFmtId="2" fontId="6" fillId="0" borderId="18" xfId="0" applyNumberFormat="1" applyFont="1" applyBorder="1" applyAlignment="1" applyProtection="1">
      <alignment horizontal="center"/>
      <protection locked="0"/>
    </xf>
    <xf numFmtId="2" fontId="6" fillId="0" borderId="19" xfId="0" applyNumberFormat="1" applyFont="1" applyBorder="1" applyAlignment="1" applyProtection="1">
      <alignment horizontal="center"/>
      <protection locked="0"/>
    </xf>
    <xf numFmtId="9" fontId="9" fillId="0" borderId="18" xfId="0" applyNumberFormat="1" applyFont="1" applyBorder="1" applyAlignment="1">
      <alignment horizontal="center"/>
    </xf>
    <xf numFmtId="0" fontId="3" fillId="0" borderId="18" xfId="0" applyFont="1" applyBorder="1" applyAlignment="1">
      <alignment horizontal="center"/>
    </xf>
    <xf numFmtId="2" fontId="9" fillId="0" borderId="19" xfId="0" applyNumberFormat="1" applyFont="1" applyBorder="1" applyAlignment="1">
      <alignment horizontal="center"/>
    </xf>
    <xf numFmtId="2" fontId="9" fillId="0" borderId="5" xfId="0" applyNumberFormat="1" applyFont="1" applyBorder="1" applyAlignment="1">
      <alignment horizontal="center"/>
    </xf>
    <xf numFmtId="2" fontId="9" fillId="0" borderId="18" xfId="0" applyNumberFormat="1" applyFont="1" applyBorder="1" applyAlignment="1">
      <alignment horizontal="center"/>
    </xf>
    <xf numFmtId="0" fontId="9" fillId="0" borderId="4" xfId="0" applyFont="1" applyBorder="1"/>
    <xf numFmtId="0" fontId="23" fillId="0" borderId="0" xfId="0" applyFont="1" applyAlignment="1">
      <alignment horizontal="center"/>
    </xf>
    <xf numFmtId="0" fontId="8" fillId="0" borderId="0" xfId="0" applyFont="1" applyAlignment="1">
      <alignment horizontal="center"/>
    </xf>
    <xf numFmtId="0" fontId="3" fillId="0" borderId="5" xfId="0" applyFont="1" applyBorder="1" applyAlignment="1">
      <alignment horizontal="center"/>
    </xf>
    <xf numFmtId="0" fontId="9" fillId="0" borderId="4" xfId="0" applyFont="1" applyBorder="1" applyAlignment="1">
      <alignment horizontal="left"/>
    </xf>
    <xf numFmtId="9" fontId="9" fillId="0" borderId="0" xfId="0" applyNumberFormat="1" applyFont="1" applyAlignment="1">
      <alignment horizontal="center"/>
    </xf>
    <xf numFmtId="0" fontId="3" fillId="0" borderId="13" xfId="0" applyFont="1" applyBorder="1"/>
    <xf numFmtId="0" fontId="3" fillId="0" borderId="6" xfId="0" applyFont="1" applyBorder="1"/>
    <xf numFmtId="0" fontId="34" fillId="0" borderId="0" xfId="0" applyFont="1" applyAlignment="1">
      <alignment horizontal="center"/>
    </xf>
    <xf numFmtId="0" fontId="9" fillId="0" borderId="7" xfId="0"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 fillId="0" borderId="0" xfId="0" applyFont="1" applyAlignment="1">
      <alignment horizontal="center" vertical="center"/>
    </xf>
    <xf numFmtId="0" fontId="11" fillId="0" borderId="4" xfId="0" applyFont="1" applyBorder="1" applyAlignment="1">
      <alignment horizontal="center"/>
    </xf>
    <xf numFmtId="0" fontId="11" fillId="0" borderId="0" xfId="0" applyFont="1" applyAlignment="1">
      <alignment horizontal="center"/>
    </xf>
    <xf numFmtId="2" fontId="29" fillId="0" borderId="0" xfId="0" applyNumberFormat="1" applyFont="1" applyAlignment="1">
      <alignment horizontal="center"/>
    </xf>
    <xf numFmtId="0" fontId="3" fillId="0" borderId="5" xfId="0" applyFont="1" applyBorder="1" applyAlignment="1">
      <alignment horizontal="center" vertical="center"/>
    </xf>
    <xf numFmtId="0" fontId="3" fillId="0" borderId="0" xfId="0" applyFont="1" applyAlignment="1" applyProtection="1">
      <alignment horizontal="center" vertical="center"/>
      <protection locked="0"/>
    </xf>
    <xf numFmtId="2" fontId="10" fillId="0" borderId="0" xfId="0" applyNumberFormat="1" applyFont="1" applyAlignment="1" applyProtection="1">
      <alignment horizontal="center"/>
      <protection locked="0"/>
    </xf>
    <xf numFmtId="44" fontId="29" fillId="0" borderId="0" xfId="1" applyFont="1" applyFill="1" applyBorder="1" applyAlignment="1" applyProtection="1">
      <alignment horizontal="right"/>
    </xf>
    <xf numFmtId="2" fontId="29" fillId="0" borderId="0" xfId="1" applyNumberFormat="1" applyFont="1" applyFill="1" applyBorder="1" applyAlignment="1" applyProtection="1">
      <alignment horizontal="right"/>
    </xf>
    <xf numFmtId="0" fontId="23" fillId="0" borderId="0" xfId="0" applyFont="1" applyAlignment="1">
      <alignment horizontal="right"/>
    </xf>
    <xf numFmtId="0" fontId="11" fillId="0" borderId="4" xfId="0" applyFont="1" applyBorder="1" applyAlignment="1" applyProtection="1">
      <alignment horizontal="center"/>
      <protection locked="0"/>
    </xf>
    <xf numFmtId="0" fontId="39" fillId="0" borderId="0" xfId="0" applyFont="1" applyAlignment="1">
      <alignment horizontal="center"/>
    </xf>
    <xf numFmtId="44" fontId="9" fillId="0" borderId="0" xfId="0" applyNumberFormat="1" applyFont="1" applyProtection="1">
      <protection locked="0"/>
    </xf>
    <xf numFmtId="0" fontId="3" fillId="0" borderId="9" xfId="0" applyFont="1" applyBorder="1" applyAlignment="1">
      <alignment horizontal="center" vertical="center"/>
    </xf>
    <xf numFmtId="0" fontId="3" fillId="0" borderId="5" xfId="0" applyFont="1" applyBorder="1" applyAlignment="1" applyProtection="1">
      <alignment horizontal="center" vertical="center"/>
      <protection locked="0"/>
    </xf>
    <xf numFmtId="0" fontId="39" fillId="0" borderId="4" xfId="0" applyFont="1" applyBorder="1" applyAlignment="1">
      <alignment horizontal="center"/>
    </xf>
    <xf numFmtId="44" fontId="9" fillId="0" borderId="0" xfId="0" applyNumberFormat="1" applyFont="1"/>
    <xf numFmtId="0" fontId="9" fillId="0" borderId="0" xfId="0" applyFont="1" applyAlignment="1">
      <alignment horizontal="left"/>
    </xf>
    <xf numFmtId="0" fontId="40" fillId="0" borderId="0" xfId="0" applyFont="1"/>
    <xf numFmtId="0" fontId="40" fillId="0" borderId="0" xfId="0" applyFont="1" applyAlignment="1">
      <alignment horizontal="center"/>
    </xf>
    <xf numFmtId="44" fontId="9" fillId="0" borderId="5" xfId="0" applyNumberFormat="1" applyFont="1" applyBorder="1"/>
    <xf numFmtId="0" fontId="3" fillId="0" borderId="13" xfId="0" applyFont="1" applyBorder="1" applyAlignment="1">
      <alignment horizontal="center"/>
    </xf>
    <xf numFmtId="0" fontId="19" fillId="0" borderId="0" xfId="0" applyFont="1" applyAlignment="1">
      <alignment horizontal="center"/>
    </xf>
    <xf numFmtId="0" fontId="42" fillId="0" borderId="0" xfId="0" applyFont="1"/>
    <xf numFmtId="2" fontId="27" fillId="0" borderId="0" xfId="0" applyNumberFormat="1" applyFont="1" applyAlignment="1" applyProtection="1">
      <alignment horizontal="center"/>
      <protection locked="0"/>
    </xf>
    <xf numFmtId="2" fontId="27" fillId="0" borderId="0" xfId="0" applyNumberFormat="1" applyFont="1" applyAlignment="1">
      <alignment horizontal="center"/>
    </xf>
    <xf numFmtId="0" fontId="13" fillId="0" borderId="0" xfId="0" applyFont="1" applyAlignment="1" applyProtection="1">
      <alignment horizontal="right"/>
      <protection locked="0"/>
    </xf>
    <xf numFmtId="0" fontId="20" fillId="0" borderId="0" xfId="0" applyFont="1" applyAlignment="1">
      <alignment horizontal="center" vertical="center"/>
    </xf>
    <xf numFmtId="0" fontId="13" fillId="0" borderId="0" xfId="0" applyFont="1" applyAlignment="1" applyProtection="1">
      <alignment horizontal="left" indent="3"/>
      <protection locked="0"/>
    </xf>
    <xf numFmtId="0" fontId="9" fillId="0" borderId="5" xfId="0" applyFont="1" applyBorder="1" applyAlignment="1">
      <alignment horizontal="center"/>
    </xf>
    <xf numFmtId="0" fontId="5" fillId="0" borderId="0" xfId="0" applyFont="1" applyAlignment="1" applyProtection="1">
      <alignment horizontal="center"/>
      <protection locked="0"/>
    </xf>
    <xf numFmtId="0" fontId="5" fillId="0" borderId="0" xfId="0" applyFont="1" applyAlignment="1">
      <alignment horizontal="center"/>
    </xf>
    <xf numFmtId="0" fontId="5" fillId="0" borderId="38" xfId="0" applyFont="1" applyBorder="1" applyAlignment="1">
      <alignment horizontal="center"/>
    </xf>
    <xf numFmtId="44" fontId="9" fillId="0" borderId="38" xfId="1" applyFont="1" applyFill="1" applyBorder="1" applyProtection="1"/>
    <xf numFmtId="44" fontId="9" fillId="0" borderId="45" xfId="1" applyFont="1" applyFill="1" applyBorder="1" applyProtection="1"/>
    <xf numFmtId="0" fontId="20" fillId="0" borderId="0" xfId="0" applyFont="1"/>
    <xf numFmtId="0" fontId="28" fillId="0" borderId="0" xfId="0" applyFont="1"/>
    <xf numFmtId="2" fontId="30" fillId="0" borderId="0" xfId="0" applyNumberFormat="1" applyFont="1" applyAlignment="1">
      <alignment horizontal="center"/>
    </xf>
    <xf numFmtId="0" fontId="5" fillId="0" borderId="19" xfId="0" applyFont="1" applyBorder="1" applyAlignment="1" applyProtection="1">
      <alignment horizontal="center"/>
      <protection locked="0"/>
    </xf>
    <xf numFmtId="0" fontId="6" fillId="0" borderId="0" xfId="0" applyFont="1" applyAlignment="1">
      <alignment horizontal="left"/>
    </xf>
    <xf numFmtId="0" fontId="9" fillId="0" borderId="0" xfId="0" applyFont="1"/>
    <xf numFmtId="0" fontId="28" fillId="0" borderId="0" xfId="0" applyFont="1" applyAlignment="1">
      <alignment horizontal="left"/>
    </xf>
    <xf numFmtId="0" fontId="3" fillId="0" borderId="19" xfId="0" applyFont="1" applyBorder="1" applyAlignment="1">
      <alignment horizontal="left"/>
    </xf>
    <xf numFmtId="0" fontId="6" fillId="0" borderId="46" xfId="0" applyFont="1" applyBorder="1" applyAlignment="1">
      <alignment horizontal="left"/>
    </xf>
    <xf numFmtId="0" fontId="7" fillId="0" borderId="43" xfId="0" applyFont="1" applyBorder="1" applyAlignment="1">
      <alignment horizontal="center"/>
    </xf>
    <xf numFmtId="0" fontId="28" fillId="0" borderId="19" xfId="0" applyFont="1" applyBorder="1" applyAlignment="1">
      <alignment horizontal="left"/>
    </xf>
    <xf numFmtId="0" fontId="14" fillId="0" borderId="0" xfId="0" applyFont="1" applyProtection="1">
      <protection locked="0"/>
    </xf>
    <xf numFmtId="0" fontId="35" fillId="2" borderId="0" xfId="0" applyFont="1" applyFill="1"/>
    <xf numFmtId="0" fontId="35" fillId="2" borderId="5" xfId="0" applyFont="1" applyFill="1" applyBorder="1"/>
    <xf numFmtId="0" fontId="35" fillId="2" borderId="13" xfId="0" applyFont="1" applyFill="1" applyBorder="1"/>
    <xf numFmtId="0" fontId="35" fillId="2" borderId="6" xfId="0" applyFont="1" applyFill="1" applyBorder="1"/>
    <xf numFmtId="0" fontId="16" fillId="0" borderId="1" xfId="0" applyFont="1" applyBorder="1"/>
    <xf numFmtId="0" fontId="16" fillId="0" borderId="2" xfId="0" applyFont="1" applyBorder="1"/>
    <xf numFmtId="0" fontId="14" fillId="0" borderId="2" xfId="0" applyFont="1" applyBorder="1"/>
    <xf numFmtId="0" fontId="14" fillId="0" borderId="3" xfId="0" applyFont="1" applyBorder="1"/>
    <xf numFmtId="0" fontId="14" fillId="0" borderId="0" xfId="0" applyFont="1"/>
    <xf numFmtId="0" fontId="14" fillId="0" borderId="18" xfId="0" applyFont="1" applyBorder="1"/>
    <xf numFmtId="0" fontId="14" fillId="0" borderId="19" xfId="0" applyFont="1" applyBorder="1"/>
    <xf numFmtId="0" fontId="14" fillId="0" borderId="5" xfId="0" applyFont="1" applyBorder="1"/>
    <xf numFmtId="0" fontId="6" fillId="0" borderId="31" xfId="0" applyFont="1" applyBorder="1"/>
    <xf numFmtId="0" fontId="23" fillId="0" borderId="31" xfId="0" applyFont="1" applyBorder="1"/>
    <xf numFmtId="0" fontId="23" fillId="0" borderId="5" xfId="0" applyFont="1" applyBorder="1"/>
    <xf numFmtId="0" fontId="18" fillId="0" borderId="19" xfId="0" applyFont="1" applyBorder="1"/>
    <xf numFmtId="0" fontId="18" fillId="0" borderId="5" xfId="0" applyFont="1" applyBorder="1"/>
    <xf numFmtId="0" fontId="34" fillId="0" borderId="19" xfId="0" applyFont="1" applyBorder="1"/>
    <xf numFmtId="0" fontId="34" fillId="0" borderId="0" xfId="0" applyFont="1"/>
    <xf numFmtId="0" fontId="3" fillId="0" borderId="46" xfId="0" applyFont="1" applyBorder="1"/>
    <xf numFmtId="44" fontId="15" fillId="0" borderId="0" xfId="1" applyFont="1" applyFill="1" applyBorder="1" applyAlignment="1" applyProtection="1">
      <protection locked="0"/>
    </xf>
    <xf numFmtId="0" fontId="18" fillId="0" borderId="19" xfId="0" applyFont="1" applyBorder="1" applyProtection="1">
      <protection locked="0"/>
    </xf>
    <xf numFmtId="44" fontId="15" fillId="0" borderId="18" xfId="1" applyFont="1" applyFill="1" applyBorder="1" applyAlignment="1" applyProtection="1">
      <protection locked="0"/>
    </xf>
    <xf numFmtId="0" fontId="18" fillId="0" borderId="5" xfId="0" applyFont="1" applyBorder="1" applyProtection="1">
      <protection locked="0"/>
    </xf>
    <xf numFmtId="164" fontId="14" fillId="0" borderId="5" xfId="0" applyNumberFormat="1" applyFont="1" applyBorder="1" applyProtection="1">
      <protection locked="0"/>
    </xf>
    <xf numFmtId="164" fontId="14" fillId="0" borderId="41" xfId="1" applyNumberFormat="1" applyFont="1" applyFill="1" applyBorder="1" applyAlignment="1" applyProtection="1">
      <protection locked="0"/>
    </xf>
    <xf numFmtId="164" fontId="18" fillId="0" borderId="28" xfId="0" applyNumberFormat="1" applyFont="1" applyBorder="1" applyProtection="1">
      <protection locked="0"/>
    </xf>
    <xf numFmtId="164" fontId="14" fillId="0" borderId="28" xfId="1" applyNumberFormat="1" applyFont="1" applyFill="1" applyBorder="1" applyAlignment="1" applyProtection="1">
      <protection locked="0"/>
    </xf>
    <xf numFmtId="164" fontId="18" fillId="0" borderId="29" xfId="0" applyNumberFormat="1" applyFont="1" applyBorder="1" applyProtection="1">
      <protection locked="0"/>
    </xf>
    <xf numFmtId="0" fontId="3" fillId="0" borderId="18" xfId="0" applyFont="1" applyBorder="1"/>
    <xf numFmtId="0" fontId="14" fillId="0" borderId="18" xfId="0" applyFont="1" applyBorder="1" applyProtection="1">
      <protection locked="0"/>
    </xf>
    <xf numFmtId="0" fontId="6" fillId="0" borderId="0" xfId="0" applyFont="1"/>
    <xf numFmtId="44" fontId="36" fillId="0" borderId="0" xfId="0" applyNumberFormat="1" applyFont="1" applyProtection="1">
      <protection locked="0"/>
    </xf>
    <xf numFmtId="44" fontId="36" fillId="0" borderId="18" xfId="0" applyNumberFormat="1" applyFont="1" applyBorder="1" applyProtection="1">
      <protection locked="0"/>
    </xf>
    <xf numFmtId="0" fontId="3" fillId="0" borderId="19" xfId="0" applyFont="1" applyBorder="1"/>
    <xf numFmtId="44" fontId="14" fillId="0" borderId="42" xfId="1" applyFont="1" applyFill="1" applyBorder="1" applyAlignment="1" applyProtection="1">
      <protection locked="0"/>
    </xf>
    <xf numFmtId="164" fontId="18" fillId="0" borderId="32" xfId="0" applyNumberFormat="1" applyFont="1" applyBorder="1" applyProtection="1">
      <protection locked="0"/>
    </xf>
    <xf numFmtId="44" fontId="14" fillId="0" borderId="32" xfId="1" applyFont="1" applyFill="1" applyBorder="1" applyAlignment="1" applyProtection="1">
      <protection locked="0"/>
    </xf>
    <xf numFmtId="164" fontId="18" fillId="0" borderId="34" xfId="0" applyNumberFormat="1" applyFont="1" applyBorder="1" applyProtection="1">
      <protection locked="0"/>
    </xf>
    <xf numFmtId="164" fontId="14" fillId="0" borderId="0" xfId="0" applyNumberFormat="1" applyFont="1" applyProtection="1">
      <protection locked="0"/>
    </xf>
    <xf numFmtId="44" fontId="14" fillId="0" borderId="19" xfId="1" applyFont="1" applyFill="1" applyBorder="1" applyAlignment="1" applyProtection="1">
      <protection locked="0"/>
    </xf>
    <xf numFmtId="164" fontId="18" fillId="0" borderId="31" xfId="0" applyNumberFormat="1" applyFont="1" applyBorder="1" applyProtection="1">
      <protection locked="0"/>
    </xf>
    <xf numFmtId="44" fontId="14" fillId="0" borderId="31" xfId="1" applyFont="1" applyFill="1" applyBorder="1" applyAlignment="1" applyProtection="1">
      <protection locked="0"/>
    </xf>
    <xf numFmtId="164" fontId="18" fillId="0" borderId="30" xfId="0" applyNumberFormat="1" applyFont="1" applyBorder="1" applyProtection="1">
      <protection locked="0"/>
    </xf>
    <xf numFmtId="44" fontId="18" fillId="0" borderId="19" xfId="0" applyNumberFormat="1" applyFont="1" applyBorder="1" applyProtection="1">
      <protection locked="0"/>
    </xf>
    <xf numFmtId="44" fontId="18" fillId="0" borderId="31" xfId="0" applyNumberFormat="1" applyFont="1" applyBorder="1" applyProtection="1">
      <protection locked="0"/>
    </xf>
    <xf numFmtId="0" fontId="13" fillId="0" borderId="19" xfId="0" applyFont="1" applyBorder="1" applyAlignment="1">
      <alignment horizontal="left"/>
    </xf>
    <xf numFmtId="0" fontId="13" fillId="0" borderId="19" xfId="0" applyFont="1" applyBorder="1" applyAlignment="1" applyProtection="1">
      <alignment horizontal="left"/>
      <protection locked="0"/>
    </xf>
    <xf numFmtId="44" fontId="14" fillId="0" borderId="0" xfId="1" applyFont="1" applyFill="1" applyBorder="1" applyAlignment="1" applyProtection="1">
      <protection locked="0"/>
    </xf>
    <xf numFmtId="164" fontId="18" fillId="0" borderId="0" xfId="0" applyNumberFormat="1" applyFont="1" applyProtection="1">
      <protection locked="0"/>
    </xf>
    <xf numFmtId="164" fontId="18" fillId="0" borderId="5" xfId="0" applyNumberFormat="1" applyFont="1" applyBorder="1" applyProtection="1">
      <protection locked="0"/>
    </xf>
    <xf numFmtId="44" fontId="18" fillId="0" borderId="19" xfId="1" applyFont="1" applyFill="1" applyBorder="1" applyAlignment="1" applyProtection="1">
      <protection locked="0"/>
    </xf>
    <xf numFmtId="44" fontId="18" fillId="0" borderId="31" xfId="1" applyFont="1" applyFill="1" applyBorder="1" applyAlignment="1" applyProtection="1">
      <protection locked="0"/>
    </xf>
    <xf numFmtId="0" fontId="18" fillId="0" borderId="0" xfId="0" applyFont="1" applyProtection="1">
      <protection locked="0"/>
    </xf>
    <xf numFmtId="164" fontId="11" fillId="0" borderId="5" xfId="0" applyNumberFormat="1" applyFont="1" applyBorder="1"/>
    <xf numFmtId="0" fontId="9" fillId="0" borderId="4" xfId="0" applyFont="1" applyBorder="1" applyProtection="1">
      <protection locked="0"/>
    </xf>
    <xf numFmtId="0" fontId="9" fillId="0" borderId="0" xfId="0" applyFont="1" applyProtection="1">
      <protection locked="0"/>
    </xf>
    <xf numFmtId="0" fontId="14" fillId="0" borderId="19" xfId="0" applyFont="1" applyBorder="1" applyProtection="1">
      <protection locked="0"/>
    </xf>
    <xf numFmtId="0" fontId="14" fillId="0" borderId="5" xfId="0" applyFont="1" applyBorder="1" applyProtection="1">
      <protection locked="0"/>
    </xf>
    <xf numFmtId="8" fontId="23" fillId="0" borderId="0" xfId="0" applyNumberFormat="1" applyFont="1" applyAlignment="1">
      <alignment horizontal="center"/>
    </xf>
    <xf numFmtId="8" fontId="23" fillId="0" borderId="19" xfId="0" applyNumberFormat="1" applyFont="1" applyBorder="1" applyAlignment="1">
      <alignment horizontal="center"/>
    </xf>
    <xf numFmtId="8" fontId="3" fillId="0" borderId="0" xfId="0" applyNumberFormat="1" applyFont="1" applyAlignment="1">
      <alignment horizontal="center"/>
    </xf>
    <xf numFmtId="8" fontId="9" fillId="0" borderId="20" xfId="0" applyNumberFormat="1" applyFont="1" applyBorder="1" applyAlignment="1">
      <alignment horizontal="center"/>
    </xf>
    <xf numFmtId="8" fontId="9" fillId="0" borderId="8" xfId="0" applyNumberFormat="1" applyFont="1" applyBorder="1" applyAlignment="1">
      <alignment horizontal="center"/>
    </xf>
    <xf numFmtId="8" fontId="8" fillId="0" borderId="21" xfId="0" applyNumberFormat="1" applyFont="1" applyBorder="1" applyAlignment="1">
      <alignment horizontal="center"/>
    </xf>
    <xf numFmtId="8" fontId="8" fillId="0" borderId="9" xfId="0" applyNumberFormat="1" applyFont="1" applyBorder="1" applyAlignment="1">
      <alignment horizontal="center"/>
    </xf>
    <xf numFmtId="8" fontId="3" fillId="0" borderId="18" xfId="0" applyNumberFormat="1" applyFont="1" applyBorder="1" applyAlignment="1">
      <alignment horizontal="center"/>
    </xf>
    <xf numFmtId="8" fontId="3" fillId="0" borderId="31" xfId="1" applyNumberFormat="1" applyFont="1" applyFill="1" applyBorder="1" applyAlignment="1" applyProtection="1">
      <alignment horizontal="center"/>
    </xf>
    <xf numFmtId="8" fontId="37" fillId="0" borderId="0" xfId="0" applyNumberFormat="1" applyFont="1" applyAlignment="1">
      <alignment horizontal="center"/>
    </xf>
    <xf numFmtId="8" fontId="37" fillId="0" borderId="40" xfId="0" applyNumberFormat="1" applyFont="1" applyBorder="1" applyAlignment="1">
      <alignment horizontal="center"/>
    </xf>
    <xf numFmtId="8" fontId="33" fillId="0" borderId="0" xfId="0" applyNumberFormat="1" applyFont="1" applyAlignment="1">
      <alignment horizontal="center"/>
    </xf>
    <xf numFmtId="8" fontId="11" fillId="0" borderId="0" xfId="0" applyNumberFormat="1" applyFont="1" applyAlignment="1">
      <alignment horizontal="center"/>
    </xf>
    <xf numFmtId="8" fontId="28" fillId="0" borderId="52" xfId="0" applyNumberFormat="1" applyFont="1" applyBorder="1" applyAlignment="1">
      <alignment horizontal="center"/>
    </xf>
    <xf numFmtId="8" fontId="28" fillId="0" borderId="53" xfId="0" applyNumberFormat="1" applyFont="1" applyBorder="1" applyAlignment="1">
      <alignment horizontal="center"/>
    </xf>
    <xf numFmtId="8" fontId="23" fillId="0" borderId="54" xfId="0" applyNumberFormat="1" applyFont="1" applyBorder="1" applyAlignment="1">
      <alignment horizontal="center"/>
    </xf>
    <xf numFmtId="8" fontId="3" fillId="0" borderId="52" xfId="0" applyNumberFormat="1" applyFont="1" applyBorder="1" applyAlignment="1">
      <alignment horizontal="center"/>
    </xf>
    <xf numFmtId="8" fontId="3" fillId="0" borderId="53" xfId="0" applyNumberFormat="1" applyFont="1" applyBorder="1" applyAlignment="1">
      <alignment horizontal="center"/>
    </xf>
    <xf numFmtId="8" fontId="23" fillId="0" borderId="55" xfId="0" applyNumberFormat="1" applyFont="1" applyBorder="1" applyAlignment="1">
      <alignment horizontal="center"/>
    </xf>
    <xf numFmtId="8" fontId="28" fillId="0" borderId="18" xfId="0" applyNumberFormat="1" applyFont="1" applyBorder="1" applyAlignment="1">
      <alignment horizontal="center"/>
    </xf>
    <xf numFmtId="0" fontId="5" fillId="0" borderId="19" xfId="0" applyFont="1" applyBorder="1" applyAlignment="1">
      <alignment horizontal="center"/>
    </xf>
    <xf numFmtId="44" fontId="29" fillId="0" borderId="43" xfId="1" applyFont="1" applyFill="1" applyBorder="1" applyAlignment="1" applyProtection="1">
      <alignment horizontal="center"/>
      <protection locked="0"/>
    </xf>
    <xf numFmtId="2" fontId="30" fillId="0" borderId="43" xfId="0" applyNumberFormat="1" applyFont="1" applyBorder="1" applyAlignment="1">
      <alignment horizontal="center"/>
    </xf>
    <xf numFmtId="44" fontId="3" fillId="0" borderId="18" xfId="1" applyFont="1" applyFill="1" applyBorder="1" applyProtection="1"/>
    <xf numFmtId="44" fontId="3" fillId="0" borderId="26" xfId="1" applyFont="1" applyFill="1" applyBorder="1" applyProtection="1"/>
    <xf numFmtId="44" fontId="23" fillId="0" borderId="31" xfId="1" applyFont="1" applyFill="1" applyBorder="1" applyAlignment="1" applyProtection="1">
      <alignment horizontal="center"/>
    </xf>
    <xf numFmtId="44" fontId="23" fillId="0" borderId="30" xfId="1" applyFont="1" applyFill="1" applyBorder="1" applyAlignment="1" applyProtection="1">
      <alignment horizontal="center"/>
    </xf>
    <xf numFmtId="44" fontId="37" fillId="0" borderId="29" xfId="1" applyFont="1" applyFill="1" applyBorder="1" applyAlignment="1" applyProtection="1">
      <alignment horizontal="center"/>
    </xf>
    <xf numFmtId="0" fontId="47" fillId="0" borderId="0" xfId="4"/>
    <xf numFmtId="0" fontId="8" fillId="9" borderId="2" xfId="0" applyFont="1" applyFill="1" applyBorder="1" applyAlignment="1">
      <alignment horizontal="center" vertical="top"/>
    </xf>
    <xf numFmtId="0" fontId="8" fillId="9" borderId="0" xfId="0" applyFont="1" applyFill="1" applyAlignment="1">
      <alignment horizontal="center" vertical="top"/>
    </xf>
    <xf numFmtId="0" fontId="8" fillId="9" borderId="12" xfId="0" applyFont="1" applyFill="1" applyBorder="1" applyAlignment="1">
      <alignment horizontal="right" vertical="center"/>
    </xf>
    <xf numFmtId="0" fontId="8" fillId="9" borderId="13" xfId="0" applyFont="1" applyFill="1" applyBorder="1" applyAlignment="1">
      <alignment horizontal="right" vertical="center"/>
    </xf>
    <xf numFmtId="0" fontId="8" fillId="9" borderId="1" xfId="0" applyFont="1" applyFill="1" applyBorder="1" applyAlignment="1">
      <alignment horizontal="right" vertical="center"/>
    </xf>
    <xf numFmtId="0" fontId="8" fillId="9" borderId="2" xfId="0" applyFont="1" applyFill="1" applyBorder="1" applyAlignment="1">
      <alignment horizontal="right" vertical="center"/>
    </xf>
    <xf numFmtId="0" fontId="8" fillId="9" borderId="2" xfId="0" applyFont="1" applyFill="1" applyBorder="1" applyAlignment="1">
      <alignment horizontal="right" vertical="top"/>
    </xf>
    <xf numFmtId="0" fontId="8" fillId="9" borderId="0" xfId="0" applyFont="1" applyFill="1" applyAlignment="1">
      <alignment horizontal="right" vertical="top"/>
    </xf>
    <xf numFmtId="0" fontId="8" fillId="9" borderId="13" xfId="0" applyFont="1" applyFill="1" applyBorder="1" applyAlignment="1">
      <alignment horizontal="right" vertical="top"/>
    </xf>
    <xf numFmtId="0" fontId="8" fillId="9" borderId="35" xfId="0" applyFont="1" applyFill="1" applyBorder="1" applyAlignment="1">
      <alignment horizontal="right" vertical="center"/>
    </xf>
    <xf numFmtId="0" fontId="8" fillId="9" borderId="16" xfId="0" applyFont="1" applyFill="1" applyBorder="1" applyAlignment="1">
      <alignment horizontal="right" vertical="center"/>
    </xf>
    <xf numFmtId="0" fontId="3" fillId="9" borderId="4" xfId="0" applyFont="1" applyFill="1" applyBorder="1" applyAlignment="1">
      <alignment horizontal="right"/>
    </xf>
    <xf numFmtId="0" fontId="3" fillId="9" borderId="0" xfId="0" applyFont="1" applyFill="1"/>
    <xf numFmtId="0" fontId="0" fillId="9" borderId="0" xfId="0" applyFill="1"/>
    <xf numFmtId="0" fontId="0" fillId="9" borderId="5" xfId="0" applyFill="1" applyBorder="1"/>
    <xf numFmtId="0" fontId="9" fillId="9" borderId="4" xfId="0" applyFont="1" applyFill="1" applyBorder="1" applyAlignment="1">
      <alignment horizontal="right"/>
    </xf>
    <xf numFmtId="0" fontId="9" fillId="9" borderId="0" xfId="0" applyFont="1" applyFill="1"/>
    <xf numFmtId="0" fontId="2" fillId="9" borderId="0" xfId="0" applyFont="1" applyFill="1"/>
    <xf numFmtId="0" fontId="2" fillId="9" borderId="5" xfId="0" applyFont="1" applyFill="1" applyBorder="1"/>
    <xf numFmtId="0" fontId="8" fillId="9" borderId="0" xfId="0" applyFont="1" applyFill="1" applyAlignment="1">
      <alignment horizontal="right" vertical="center"/>
    </xf>
    <xf numFmtId="0" fontId="0" fillId="9" borderId="4" xfId="0" applyFill="1" applyBorder="1"/>
    <xf numFmtId="0" fontId="12" fillId="9" borderId="0" xfId="0" applyFont="1" applyFill="1" applyAlignment="1">
      <alignment horizontal="right"/>
    </xf>
    <xf numFmtId="0" fontId="0" fillId="9" borderId="12" xfId="0" applyFill="1" applyBorder="1"/>
    <xf numFmtId="0" fontId="0" fillId="9" borderId="13" xfId="0" applyFill="1" applyBorder="1"/>
    <xf numFmtId="0" fontId="0" fillId="9" borderId="6" xfId="0" applyFill="1" applyBorder="1"/>
    <xf numFmtId="0" fontId="40" fillId="0" borderId="0" xfId="0" applyFont="1" applyProtection="1">
      <protection locked="0"/>
    </xf>
    <xf numFmtId="0" fontId="9" fillId="8" borderId="25" xfId="0" applyFont="1" applyFill="1" applyBorder="1"/>
    <xf numFmtId="0" fontId="9" fillId="8" borderId="14" xfId="0" applyFont="1" applyFill="1" applyBorder="1"/>
    <xf numFmtId="0" fontId="40" fillId="8" borderId="14" xfId="0" applyFont="1" applyFill="1" applyBorder="1"/>
    <xf numFmtId="0" fontId="40" fillId="8" borderId="14" xfId="0" applyFont="1" applyFill="1" applyBorder="1" applyAlignment="1">
      <alignment horizontal="center"/>
    </xf>
    <xf numFmtId="44" fontId="9" fillId="8" borderId="15" xfId="0" applyNumberFormat="1" applyFont="1" applyFill="1" applyBorder="1"/>
    <xf numFmtId="0" fontId="40" fillId="7" borderId="14" xfId="0" applyFont="1" applyFill="1" applyBorder="1"/>
    <xf numFmtId="0" fontId="40" fillId="7" borderId="14" xfId="0" applyFont="1" applyFill="1" applyBorder="1" applyAlignment="1">
      <alignment horizontal="center"/>
    </xf>
    <xf numFmtId="44" fontId="9" fillId="7" borderId="15" xfId="0" applyNumberFormat="1" applyFont="1" applyFill="1" applyBorder="1"/>
    <xf numFmtId="0" fontId="9" fillId="7" borderId="25" xfId="0" applyFont="1" applyFill="1" applyBorder="1" applyAlignment="1">
      <alignment horizontal="left"/>
    </xf>
    <xf numFmtId="0" fontId="9" fillId="7" borderId="14" xfId="0" applyFont="1" applyFill="1" applyBorder="1" applyAlignment="1">
      <alignment horizontal="left"/>
    </xf>
    <xf numFmtId="0" fontId="41" fillId="7" borderId="14" xfId="0" applyFont="1" applyFill="1" applyBorder="1"/>
    <xf numFmtId="0" fontId="23" fillId="0" borderId="19" xfId="0" applyFont="1" applyBorder="1"/>
    <xf numFmtId="0" fontId="3" fillId="0" borderId="30" xfId="0" applyFont="1" applyBorder="1"/>
    <xf numFmtId="0" fontId="9" fillId="8" borderId="35" xfId="0" applyFont="1" applyFill="1" applyBorder="1"/>
    <xf numFmtId="0" fontId="9" fillId="8" borderId="16" xfId="0" applyFont="1" applyFill="1" applyBorder="1" applyAlignment="1">
      <alignment horizontal="center"/>
    </xf>
    <xf numFmtId="0" fontId="8" fillId="8" borderId="16" xfId="0" applyFont="1" applyFill="1" applyBorder="1" applyAlignment="1">
      <alignment horizontal="center"/>
    </xf>
    <xf numFmtId="0" fontId="9" fillId="8" borderId="24" xfId="0" applyFont="1" applyFill="1" applyBorder="1" applyAlignment="1">
      <alignment horizontal="center"/>
    </xf>
    <xf numFmtId="0" fontId="9" fillId="8" borderId="16" xfId="0" applyFont="1" applyFill="1" applyBorder="1" applyAlignment="1">
      <alignment horizontal="center" vertical="center"/>
    </xf>
    <xf numFmtId="0" fontId="9" fillId="8" borderId="16" xfId="0" applyFont="1" applyFill="1" applyBorder="1" applyAlignment="1">
      <alignment horizontal="center" vertical="center" wrapText="1"/>
    </xf>
    <xf numFmtId="0" fontId="8" fillId="8" borderId="16" xfId="0" applyFont="1" applyFill="1" applyBorder="1" applyAlignment="1">
      <alignment horizontal="center" vertical="center"/>
    </xf>
    <xf numFmtId="0" fontId="9" fillId="8" borderId="24" xfId="0" applyFont="1" applyFill="1" applyBorder="1" applyAlignment="1">
      <alignment horizontal="center" vertical="center"/>
    </xf>
    <xf numFmtId="0" fontId="9" fillId="8" borderId="56" xfId="0" applyFont="1" applyFill="1" applyBorder="1" applyAlignment="1">
      <alignment horizontal="center"/>
    </xf>
    <xf numFmtId="0" fontId="48" fillId="0" borderId="0" xfId="0" applyFont="1" applyProtection="1">
      <protection locked="0"/>
    </xf>
    <xf numFmtId="0" fontId="9" fillId="7" borderId="44" xfId="0" applyFont="1" applyFill="1" applyBorder="1" applyAlignment="1">
      <alignment horizontal="center"/>
    </xf>
    <xf numFmtId="0" fontId="9" fillId="7" borderId="51" xfId="0" applyFont="1" applyFill="1" applyBorder="1" applyAlignment="1">
      <alignment horizontal="center"/>
    </xf>
    <xf numFmtId="0" fontId="28" fillId="0" borderId="4" xfId="0" applyFont="1" applyBorder="1" applyAlignment="1">
      <alignment horizontal="left"/>
    </xf>
    <xf numFmtId="0" fontId="6" fillId="0" borderId="4" xfId="0" applyFont="1" applyBorder="1" applyAlignment="1">
      <alignment horizontal="center"/>
    </xf>
    <xf numFmtId="0" fontId="9" fillId="0" borderId="5" xfId="0" applyFont="1" applyBorder="1"/>
    <xf numFmtId="44" fontId="3" fillId="0" borderId="31" xfId="1" applyFont="1" applyFill="1" applyBorder="1" applyAlignment="1" applyProtection="1">
      <alignment horizontal="center"/>
    </xf>
    <xf numFmtId="8" fontId="28" fillId="0" borderId="0" xfId="0" applyNumberFormat="1" applyFont="1" applyAlignment="1">
      <alignment horizontal="center"/>
    </xf>
    <xf numFmtId="8" fontId="37" fillId="0" borderId="22" xfId="0" applyNumberFormat="1" applyFont="1" applyBorder="1" applyAlignment="1">
      <alignment horizontal="center"/>
    </xf>
    <xf numFmtId="44" fontId="37" fillId="0" borderId="33" xfId="1" applyFont="1" applyFill="1" applyBorder="1" applyAlignment="1" applyProtection="1">
      <alignment horizontal="center"/>
    </xf>
    <xf numFmtId="44" fontId="37" fillId="0" borderId="17" xfId="1" applyFont="1" applyFill="1" applyBorder="1" applyAlignment="1" applyProtection="1">
      <alignment horizontal="center"/>
    </xf>
    <xf numFmtId="44" fontId="3" fillId="0" borderId="19" xfId="1" applyFont="1" applyFill="1" applyBorder="1" applyProtection="1"/>
    <xf numFmtId="44" fontId="3" fillId="0" borderId="20" xfId="1" applyFont="1" applyFill="1" applyBorder="1" applyProtection="1"/>
    <xf numFmtId="44" fontId="3" fillId="0" borderId="8" xfId="1" applyFont="1" applyFill="1" applyBorder="1" applyProtection="1"/>
    <xf numFmtId="44" fontId="3" fillId="0" borderId="21" xfId="1" applyFont="1" applyFill="1" applyBorder="1" applyProtection="1"/>
    <xf numFmtId="0" fontId="9" fillId="0" borderId="18" xfId="0" applyFont="1" applyBorder="1"/>
    <xf numFmtId="0" fontId="28" fillId="0" borderId="18" xfId="0" applyFont="1" applyBorder="1" applyAlignment="1">
      <alignment horizontal="left" indent="2"/>
    </xf>
    <xf numFmtId="8" fontId="8" fillId="0" borderId="8" xfId="0" applyNumberFormat="1" applyFont="1" applyBorder="1" applyAlignment="1">
      <alignment horizontal="center"/>
    </xf>
    <xf numFmtId="0" fontId="6" fillId="0" borderId="18"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19" xfId="0" applyFont="1" applyBorder="1" applyAlignment="1">
      <alignment horizontal="center"/>
    </xf>
    <xf numFmtId="0" fontId="5" fillId="0" borderId="27" xfId="0" applyFont="1" applyBorder="1" applyAlignment="1" applyProtection="1">
      <alignment horizontal="center"/>
      <protection locked="0"/>
    </xf>
    <xf numFmtId="0" fontId="7" fillId="0" borderId="0" xfId="0" applyFont="1" applyAlignment="1">
      <alignment horizontal="center"/>
    </xf>
    <xf numFmtId="0" fontId="10" fillId="0" borderId="18" xfId="0" applyFont="1" applyBorder="1" applyAlignment="1">
      <alignment horizontal="center"/>
    </xf>
    <xf numFmtId="0" fontId="3" fillId="0" borderId="19" xfId="0" applyFont="1" applyBorder="1" applyAlignment="1">
      <alignment horizontal="center"/>
    </xf>
    <xf numFmtId="8" fontId="14" fillId="0" borderId="0" xfId="0" applyNumberFormat="1" applyFont="1" applyAlignment="1" applyProtection="1">
      <alignment horizontal="center"/>
      <protection locked="0"/>
    </xf>
    <xf numFmtId="44" fontId="23" fillId="0" borderId="32" xfId="1" applyFont="1" applyFill="1" applyBorder="1" applyAlignment="1" applyProtection="1">
      <alignment horizontal="center"/>
    </xf>
    <xf numFmtId="44" fontId="37" fillId="0" borderId="28" xfId="1" applyFont="1" applyFill="1" applyBorder="1" applyAlignment="1" applyProtection="1">
      <alignment horizontal="center"/>
    </xf>
    <xf numFmtId="0" fontId="2" fillId="0" borderId="0" xfId="0" applyFont="1" applyAlignment="1">
      <alignment horizontal="center"/>
    </xf>
    <xf numFmtId="0" fontId="0" fillId="0" borderId="0" xfId="0" applyAlignment="1">
      <alignment horizontal="left"/>
    </xf>
    <xf numFmtId="8" fontId="0" fillId="0" borderId="0" xfId="0" applyNumberFormat="1" applyAlignment="1">
      <alignment horizontal="center"/>
    </xf>
    <xf numFmtId="165" fontId="0" fillId="0" borderId="0" xfId="0" applyNumberFormat="1" applyAlignment="1">
      <alignment horizontal="center"/>
    </xf>
    <xf numFmtId="0" fontId="26" fillId="0" borderId="0" xfId="0" applyFont="1" applyAlignment="1" applyProtection="1">
      <alignment horizontal="center"/>
      <protection locked="0"/>
    </xf>
    <xf numFmtId="8" fontId="37" fillId="0" borderId="28" xfId="0" applyNumberFormat="1" applyFont="1" applyBorder="1" applyAlignment="1">
      <alignment horizontal="center"/>
    </xf>
    <xf numFmtId="0" fontId="46" fillId="0" borderId="0" xfId="0" applyFont="1" applyAlignment="1">
      <alignment horizontal="center"/>
    </xf>
    <xf numFmtId="0" fontId="9" fillId="0" borderId="58" xfId="0" applyFont="1" applyBorder="1" applyAlignment="1">
      <alignment horizontal="left"/>
    </xf>
    <xf numFmtId="2" fontId="9" fillId="0" borderId="57" xfId="0" applyNumberFormat="1" applyFont="1" applyBorder="1" applyAlignment="1">
      <alignment horizontal="center"/>
    </xf>
    <xf numFmtId="2" fontId="9" fillId="0" borderId="58" xfId="0" applyNumberFormat="1" applyFont="1" applyBorder="1" applyAlignment="1">
      <alignment horizontal="center"/>
    </xf>
    <xf numFmtId="2" fontId="9" fillId="0" borderId="42" xfId="0" applyNumberFormat="1" applyFont="1" applyBorder="1" applyAlignment="1">
      <alignment horizontal="center"/>
    </xf>
    <xf numFmtId="2" fontId="9" fillId="0" borderId="64" xfId="0" applyNumberFormat="1" applyFont="1" applyBorder="1" applyAlignment="1">
      <alignment horizontal="center"/>
    </xf>
    <xf numFmtId="0" fontId="28" fillId="0" borderId="48" xfId="0" applyFont="1" applyBorder="1" applyAlignment="1">
      <alignment horizontal="left"/>
    </xf>
    <xf numFmtId="0" fontId="28" fillId="0" borderId="51" xfId="0" applyFont="1" applyBorder="1" applyAlignment="1">
      <alignment horizontal="left"/>
    </xf>
    <xf numFmtId="8" fontId="11" fillId="0" borderId="18" xfId="0" applyNumberFormat="1" applyFont="1" applyBorder="1" applyAlignment="1">
      <alignment horizontal="center"/>
    </xf>
    <xf numFmtId="8" fontId="11" fillId="0" borderId="19" xfId="0" applyNumberFormat="1" applyFont="1" applyBorder="1" applyAlignment="1">
      <alignment horizontal="center"/>
    </xf>
    <xf numFmtId="8" fontId="11" fillId="0" borderId="5" xfId="0" applyNumberFormat="1" applyFont="1" applyBorder="1" applyAlignment="1">
      <alignment horizontal="center"/>
    </xf>
    <xf numFmtId="0" fontId="49" fillId="0" borderId="31" xfId="0" applyFont="1" applyBorder="1" applyAlignment="1">
      <alignment horizontal="left"/>
    </xf>
    <xf numFmtId="0" fontId="51" fillId="0" borderId="0" xfId="0" applyFont="1"/>
    <xf numFmtId="0" fontId="51" fillId="0" borderId="31" xfId="0" applyFont="1" applyBorder="1" applyAlignment="1">
      <alignment horizontal="left"/>
    </xf>
    <xf numFmtId="165" fontId="49" fillId="0" borderId="63" xfId="0" applyNumberFormat="1" applyFont="1" applyBorder="1" applyAlignment="1">
      <alignment horizontal="left" vertical="center"/>
    </xf>
    <xf numFmtId="0" fontId="51" fillId="0" borderId="27" xfId="0" applyFont="1" applyBorder="1" applyAlignment="1">
      <alignment horizontal="left"/>
    </xf>
    <xf numFmtId="40" fontId="49" fillId="0" borderId="38" xfId="0" applyNumberFormat="1" applyFont="1" applyBorder="1" applyAlignment="1">
      <alignment horizontal="center"/>
    </xf>
    <xf numFmtId="8" fontId="49" fillId="0" borderId="38" xfId="0" applyNumberFormat="1" applyFont="1" applyBorder="1" applyAlignment="1">
      <alignment horizontal="center"/>
    </xf>
    <xf numFmtId="8" fontId="49" fillId="0" borderId="13" xfId="0" applyNumberFormat="1" applyFont="1" applyBorder="1" applyAlignment="1">
      <alignment horizontal="center"/>
    </xf>
    <xf numFmtId="40" fontId="49" fillId="0" borderId="45" xfId="0" applyNumberFormat="1" applyFont="1" applyBorder="1" applyAlignment="1">
      <alignment horizontal="center"/>
    </xf>
    <xf numFmtId="40" fontId="49" fillId="0" borderId="53" xfId="0" applyNumberFormat="1" applyFont="1" applyBorder="1" applyAlignment="1">
      <alignment horizontal="center"/>
    </xf>
    <xf numFmtId="165" fontId="23" fillId="0" borderId="32" xfId="1" applyNumberFormat="1" applyFont="1" applyFill="1" applyBorder="1" applyAlignment="1" applyProtection="1">
      <alignment horizontal="center"/>
    </xf>
    <xf numFmtId="165" fontId="23" fillId="0" borderId="31" xfId="1" applyNumberFormat="1" applyFont="1" applyFill="1" applyBorder="1" applyAlignment="1" applyProtection="1">
      <alignment horizontal="center"/>
    </xf>
    <xf numFmtId="8" fontId="37" fillId="0" borderId="17" xfId="1" applyNumberFormat="1" applyFont="1" applyFill="1" applyBorder="1" applyAlignment="1" applyProtection="1">
      <alignment horizontal="center"/>
    </xf>
    <xf numFmtId="0" fontId="11" fillId="0" borderId="51" xfId="0" applyFont="1" applyBorder="1" applyAlignment="1">
      <alignment horizontal="left"/>
    </xf>
    <xf numFmtId="0" fontId="11" fillId="0" borderId="48" xfId="0" applyFont="1" applyBorder="1" applyAlignment="1">
      <alignment horizontal="left"/>
    </xf>
    <xf numFmtId="165" fontId="33" fillId="0" borderId="28" xfId="1" applyNumberFormat="1" applyFont="1" applyFill="1" applyBorder="1" applyAlignment="1" applyProtection="1">
      <alignment horizontal="center"/>
    </xf>
    <xf numFmtId="165" fontId="9" fillId="0" borderId="0" xfId="0" applyNumberFormat="1" applyFont="1" applyAlignment="1">
      <alignment horizontal="left"/>
    </xf>
    <xf numFmtId="2" fontId="9" fillId="0" borderId="0" xfId="0" applyNumberFormat="1" applyFont="1" applyAlignment="1">
      <alignment horizontal="left"/>
    </xf>
    <xf numFmtId="165" fontId="9" fillId="7" borderId="32" xfId="0" applyNumberFormat="1" applyFont="1" applyFill="1" applyBorder="1" applyAlignment="1">
      <alignment horizontal="center"/>
    </xf>
    <xf numFmtId="2" fontId="9" fillId="7" borderId="22" xfId="0" applyNumberFormat="1" applyFont="1" applyFill="1" applyBorder="1" applyAlignment="1">
      <alignment horizontal="center"/>
    </xf>
    <xf numFmtId="165" fontId="9" fillId="0" borderId="0" xfId="0" applyNumberFormat="1" applyFont="1"/>
    <xf numFmtId="0" fontId="53" fillId="0" borderId="0" xfId="0" applyFont="1"/>
    <xf numFmtId="0" fontId="3" fillId="9" borderId="0" xfId="0" applyFont="1" applyFill="1" applyAlignment="1">
      <alignment horizontal="center" vertical="center" wrapText="1"/>
    </xf>
    <xf numFmtId="0" fontId="3" fillId="9" borderId="5" xfId="0" applyFont="1" applyFill="1" applyBorder="1" applyAlignment="1">
      <alignment horizontal="center" vertical="center" wrapText="1"/>
    </xf>
    <xf numFmtId="0" fontId="12" fillId="9" borderId="12" xfId="0" applyFont="1" applyFill="1" applyBorder="1" applyAlignment="1">
      <alignment horizontal="right"/>
    </xf>
    <xf numFmtId="0" fontId="12" fillId="9" borderId="13" xfId="0" applyFont="1" applyFill="1" applyBorder="1" applyAlignment="1">
      <alignment horizontal="right"/>
    </xf>
    <xf numFmtId="44" fontId="14" fillId="0" borderId="0" xfId="0" applyNumberFormat="1" applyFont="1" applyProtection="1">
      <protection locked="0"/>
    </xf>
    <xf numFmtId="44" fontId="0" fillId="0" borderId="0" xfId="0" applyNumberFormat="1" applyProtection="1">
      <protection locked="0"/>
    </xf>
    <xf numFmtId="0" fontId="28" fillId="0" borderId="0" xfId="0" applyFont="1" applyAlignment="1">
      <alignment horizontal="left" indent="2"/>
    </xf>
    <xf numFmtId="0" fontId="13" fillId="0" borderId="0" xfId="0" applyFont="1" applyAlignment="1">
      <alignment horizontal="left" indent="2"/>
    </xf>
    <xf numFmtId="0" fontId="13" fillId="0" borderId="0" xfId="0" applyFont="1" applyAlignment="1" applyProtection="1">
      <alignment horizontal="left" indent="2"/>
      <protection locked="0"/>
    </xf>
    <xf numFmtId="0" fontId="14" fillId="0" borderId="4" xfId="0" applyFont="1" applyBorder="1" applyProtection="1">
      <protection locked="0"/>
    </xf>
    <xf numFmtId="0" fontId="14" fillId="0" borderId="12" xfId="0" applyFont="1" applyBorder="1" applyProtection="1">
      <protection locked="0"/>
    </xf>
    <xf numFmtId="0" fontId="14" fillId="0" borderId="13" xfId="0" applyFont="1" applyBorder="1" applyProtection="1">
      <protection locked="0"/>
    </xf>
    <xf numFmtId="0" fontId="14" fillId="0" borderId="6" xfId="0" applyFont="1" applyBorder="1" applyProtection="1">
      <protection locked="0"/>
    </xf>
    <xf numFmtId="0" fontId="31" fillId="0" borderId="43" xfId="0" applyFont="1" applyBorder="1" applyProtection="1">
      <protection locked="0"/>
    </xf>
    <xf numFmtId="44" fontId="31" fillId="8" borderId="17" xfId="1" applyFont="1" applyFill="1" applyBorder="1" applyAlignment="1" applyProtection="1">
      <alignment horizontal="center"/>
      <protection locked="0"/>
    </xf>
    <xf numFmtId="0" fontId="9" fillId="8" borderId="31" xfId="0" applyFont="1" applyFill="1" applyBorder="1" applyAlignment="1" applyProtection="1">
      <alignment horizontal="center"/>
      <protection locked="0"/>
    </xf>
    <xf numFmtId="0" fontId="31" fillId="8" borderId="17" xfId="0" applyFont="1" applyFill="1" applyBorder="1" applyAlignment="1" applyProtection="1">
      <alignment horizontal="center"/>
      <protection locked="0"/>
    </xf>
    <xf numFmtId="0" fontId="9" fillId="8" borderId="17" xfId="0" applyFont="1" applyFill="1" applyBorder="1" applyAlignment="1" applyProtection="1">
      <alignment horizontal="center"/>
      <protection locked="0"/>
    </xf>
    <xf numFmtId="168" fontId="31" fillId="8" borderId="17" xfId="3" applyNumberFormat="1" applyFont="1" applyFill="1" applyBorder="1" applyAlignment="1" applyProtection="1">
      <alignment horizontal="center"/>
      <protection locked="0"/>
    </xf>
    <xf numFmtId="44" fontId="31" fillId="8" borderId="66" xfId="1" applyFont="1" applyFill="1" applyBorder="1" applyAlignment="1" applyProtection="1">
      <alignment horizontal="center"/>
      <protection locked="0"/>
    </xf>
    <xf numFmtId="44" fontId="31" fillId="8" borderId="67" xfId="1" applyFont="1" applyFill="1" applyBorder="1" applyAlignment="1" applyProtection="1">
      <alignment horizontal="center"/>
      <protection locked="0"/>
    </xf>
    <xf numFmtId="0" fontId="31" fillId="8" borderId="51" xfId="0" applyFont="1" applyFill="1" applyBorder="1" applyAlignment="1" applyProtection="1">
      <alignment horizontal="center"/>
      <protection locked="0"/>
    </xf>
    <xf numFmtId="44" fontId="31" fillId="8" borderId="17" xfId="1" applyFont="1" applyFill="1" applyBorder="1" applyAlignment="1" applyProtection="1">
      <alignment horizontal="right"/>
      <protection locked="0"/>
    </xf>
    <xf numFmtId="2" fontId="31" fillId="8" borderId="17" xfId="0" applyNumberFormat="1" applyFont="1" applyFill="1" applyBorder="1" applyAlignment="1" applyProtection="1">
      <alignment horizontal="right"/>
      <protection locked="0"/>
    </xf>
    <xf numFmtId="0" fontId="32" fillId="8" borderId="17" xfId="0" applyFont="1" applyFill="1" applyBorder="1" applyAlignment="1" applyProtection="1">
      <alignment horizontal="center"/>
      <protection locked="0"/>
    </xf>
    <xf numFmtId="1" fontId="32" fillId="8" borderId="17" xfId="0" applyNumberFormat="1" applyFont="1" applyFill="1" applyBorder="1" applyAlignment="1" applyProtection="1">
      <alignment horizontal="center"/>
      <protection locked="0"/>
    </xf>
    <xf numFmtId="165" fontId="32" fillId="8" borderId="17" xfId="0" applyNumberFormat="1" applyFont="1" applyFill="1" applyBorder="1" applyAlignment="1" applyProtection="1">
      <alignment horizontal="center"/>
      <protection locked="0"/>
    </xf>
    <xf numFmtId="0" fontId="14" fillId="0" borderId="46" xfId="0" applyFont="1" applyBorder="1"/>
    <xf numFmtId="0" fontId="14" fillId="0" borderId="46" xfId="0" applyFont="1" applyBorder="1" applyAlignment="1">
      <alignment horizontal="left"/>
    </xf>
    <xf numFmtId="0" fontId="26" fillId="0" borderId="18" xfId="0" applyFont="1" applyBorder="1" applyAlignment="1">
      <alignment horizontal="center"/>
    </xf>
    <xf numFmtId="44" fontId="55" fillId="8" borderId="17" xfId="1" applyFont="1" applyFill="1" applyBorder="1" applyAlignment="1" applyProtection="1">
      <alignment horizontal="center"/>
      <protection locked="0"/>
    </xf>
    <xf numFmtId="8" fontId="55" fillId="0" borderId="0" xfId="1" applyNumberFormat="1" applyFont="1" applyFill="1" applyBorder="1" applyAlignment="1" applyProtection="1">
      <alignment horizontal="center"/>
    </xf>
    <xf numFmtId="8" fontId="56" fillId="0" borderId="19" xfId="0" applyNumberFormat="1" applyFont="1" applyBorder="1" applyAlignment="1">
      <alignment horizontal="center"/>
    </xf>
    <xf numFmtId="8" fontId="56" fillId="0" borderId="0" xfId="0" applyNumberFormat="1" applyFont="1" applyAlignment="1">
      <alignment horizontal="center"/>
    </xf>
    <xf numFmtId="8" fontId="15" fillId="0" borderId="0" xfId="1" applyNumberFormat="1" applyFont="1" applyFill="1" applyBorder="1" applyAlignment="1" applyProtection="1">
      <alignment horizontal="center"/>
    </xf>
    <xf numFmtId="8" fontId="18" fillId="0" borderId="5" xfId="0" applyNumberFormat="1" applyFont="1" applyBorder="1" applyAlignment="1">
      <alignment horizontal="center"/>
    </xf>
    <xf numFmtId="0" fontId="55" fillId="8" borderId="17" xfId="0" applyFont="1" applyFill="1" applyBorder="1" applyAlignment="1" applyProtection="1">
      <alignment horizontal="center"/>
      <protection locked="0"/>
    </xf>
    <xf numFmtId="8" fontId="18" fillId="0" borderId="0" xfId="0" applyNumberFormat="1" applyFont="1" applyAlignment="1">
      <alignment horizontal="center"/>
    </xf>
    <xf numFmtId="8" fontId="18" fillId="0" borderId="19" xfId="0" applyNumberFormat="1" applyFont="1" applyBorder="1" applyAlignment="1">
      <alignment horizontal="center"/>
    </xf>
    <xf numFmtId="8" fontId="14" fillId="0" borderId="19" xfId="0" applyNumberFormat="1" applyFont="1" applyBorder="1" applyAlignment="1">
      <alignment horizontal="center"/>
    </xf>
    <xf numFmtId="8" fontId="14" fillId="0" borderId="0" xfId="0" applyNumberFormat="1" applyFont="1" applyAlignment="1">
      <alignment horizontal="center"/>
    </xf>
    <xf numFmtId="8" fontId="14" fillId="0" borderId="5" xfId="0" applyNumberFormat="1" applyFont="1" applyBorder="1" applyAlignment="1">
      <alignment horizontal="center"/>
    </xf>
    <xf numFmtId="0" fontId="55" fillId="0" borderId="18" xfId="0" applyFont="1" applyBorder="1" applyAlignment="1" applyProtection="1">
      <alignment horizontal="center"/>
      <protection locked="0"/>
    </xf>
    <xf numFmtId="44" fontId="18" fillId="0" borderId="18" xfId="0" applyNumberFormat="1" applyFont="1" applyBorder="1" applyAlignment="1">
      <alignment horizontal="center"/>
    </xf>
    <xf numFmtId="44" fontId="18" fillId="0" borderId="18" xfId="1" applyFont="1" applyFill="1" applyBorder="1" applyAlignment="1" applyProtection="1">
      <alignment horizontal="center"/>
    </xf>
    <xf numFmtId="8" fontId="55" fillId="0" borderId="18" xfId="0" applyNumberFormat="1" applyFont="1" applyBorder="1" applyAlignment="1" applyProtection="1">
      <alignment horizontal="center"/>
      <protection locked="0"/>
    </xf>
    <xf numFmtId="8" fontId="6" fillId="0" borderId="32" xfId="0" applyNumberFormat="1" applyFont="1" applyBorder="1" applyAlignment="1">
      <alignment horizontal="center"/>
    </xf>
    <xf numFmtId="8" fontId="15" fillId="0" borderId="32" xfId="0" applyNumberFormat="1" applyFont="1" applyBorder="1" applyAlignment="1">
      <alignment horizontal="center"/>
    </xf>
    <xf numFmtId="8" fontId="15" fillId="0" borderId="0" xfId="0" applyNumberFormat="1" applyFont="1" applyAlignment="1">
      <alignment horizontal="center"/>
    </xf>
    <xf numFmtId="8" fontId="15" fillId="0" borderId="34" xfId="0" applyNumberFormat="1" applyFont="1" applyBorder="1" applyAlignment="1">
      <alignment horizontal="center"/>
    </xf>
    <xf numFmtId="44" fontId="57" fillId="0" borderId="40" xfId="1" applyFont="1" applyFill="1" applyBorder="1" applyAlignment="1" applyProtection="1">
      <alignment horizontal="center"/>
    </xf>
    <xf numFmtId="8" fontId="57" fillId="0" borderId="40" xfId="1" applyNumberFormat="1" applyFont="1" applyFill="1" applyBorder="1" applyAlignment="1" applyProtection="1">
      <alignment horizontal="center"/>
    </xf>
    <xf numFmtId="8" fontId="58" fillId="0" borderId="40" xfId="0" applyNumberFormat="1" applyFont="1" applyBorder="1" applyAlignment="1">
      <alignment horizontal="center"/>
    </xf>
    <xf numFmtId="44" fontId="58" fillId="0" borderId="40" xfId="1" applyFont="1" applyFill="1" applyBorder="1" applyAlignment="1" applyProtection="1">
      <alignment horizontal="center"/>
    </xf>
    <xf numFmtId="44" fontId="58" fillId="0" borderId="50" xfId="1" applyFont="1" applyFill="1" applyBorder="1" applyAlignment="1" applyProtection="1">
      <alignment horizontal="center"/>
    </xf>
    <xf numFmtId="8" fontId="14" fillId="0" borderId="18" xfId="0" applyNumberFormat="1" applyFont="1" applyBorder="1" applyAlignment="1">
      <alignment horizontal="center"/>
    </xf>
    <xf numFmtId="8" fontId="36" fillId="0" borderId="18" xfId="0" applyNumberFormat="1" applyFont="1" applyBorder="1" applyAlignment="1">
      <alignment horizontal="center"/>
    </xf>
    <xf numFmtId="8" fontId="36" fillId="0" borderId="0" xfId="0" applyNumberFormat="1" applyFont="1" applyAlignment="1">
      <alignment horizontal="center"/>
    </xf>
    <xf numFmtId="8" fontId="6" fillId="0" borderId="20" xfId="0" applyNumberFormat="1" applyFont="1" applyBorder="1" applyAlignment="1">
      <alignment horizontal="center"/>
    </xf>
    <xf numFmtId="8" fontId="6" fillId="0" borderId="8" xfId="0" applyNumberFormat="1" applyFont="1" applyBorder="1" applyAlignment="1">
      <alignment horizontal="center"/>
    </xf>
    <xf numFmtId="8" fontId="15" fillId="0" borderId="21" xfId="0" applyNumberFormat="1" applyFont="1" applyBorder="1" applyAlignment="1">
      <alignment horizontal="center"/>
    </xf>
    <xf numFmtId="8" fontId="15" fillId="0" borderId="9" xfId="0" applyNumberFormat="1" applyFont="1" applyBorder="1" applyAlignment="1">
      <alignment horizontal="center"/>
    </xf>
    <xf numFmtId="44" fontId="18" fillId="0" borderId="31" xfId="1" applyFont="1" applyFill="1" applyBorder="1" applyAlignment="1" applyProtection="1">
      <alignment horizontal="center"/>
    </xf>
    <xf numFmtId="8" fontId="18" fillId="0" borderId="31" xfId="1" applyNumberFormat="1" applyFont="1" applyFill="1" applyBorder="1" applyAlignment="1" applyProtection="1">
      <alignment horizontal="center"/>
    </xf>
    <xf numFmtId="44" fontId="18" fillId="0" borderId="31" xfId="0" applyNumberFormat="1" applyFont="1" applyBorder="1" applyAlignment="1">
      <alignment horizontal="center"/>
    </xf>
    <xf numFmtId="44" fontId="14" fillId="0" borderId="31" xfId="1" applyFont="1" applyFill="1" applyBorder="1" applyAlignment="1" applyProtection="1">
      <alignment horizontal="center"/>
    </xf>
    <xf numFmtId="8" fontId="14" fillId="0" borderId="31" xfId="1" applyNumberFormat="1" applyFont="1" applyFill="1" applyBorder="1" applyAlignment="1" applyProtection="1">
      <alignment horizontal="center"/>
    </xf>
    <xf numFmtId="44" fontId="18" fillId="0" borderId="30" xfId="1" applyFont="1" applyFill="1" applyBorder="1" applyAlignment="1" applyProtection="1">
      <alignment horizontal="center"/>
    </xf>
    <xf numFmtId="44" fontId="58" fillId="0" borderId="39" xfId="0" applyNumberFormat="1" applyFont="1" applyBorder="1" applyAlignment="1">
      <alignment horizontal="center"/>
    </xf>
    <xf numFmtId="44" fontId="58" fillId="0" borderId="40" xfId="0" applyNumberFormat="1" applyFont="1" applyBorder="1" applyAlignment="1">
      <alignment horizontal="center"/>
    </xf>
    <xf numFmtId="44" fontId="58" fillId="0" borderId="41" xfId="0" applyNumberFormat="1" applyFont="1" applyBorder="1" applyAlignment="1">
      <alignment horizontal="center"/>
    </xf>
    <xf numFmtId="8" fontId="58" fillId="0" borderId="0" xfId="0" applyNumberFormat="1" applyFont="1" applyAlignment="1">
      <alignment horizontal="center"/>
    </xf>
    <xf numFmtId="44" fontId="58" fillId="0" borderId="39" xfId="1" applyFont="1" applyFill="1" applyBorder="1" applyAlignment="1" applyProtection="1">
      <alignment horizontal="center"/>
    </xf>
    <xf numFmtId="44" fontId="58" fillId="0" borderId="41" xfId="1" applyFont="1" applyFill="1" applyBorder="1" applyAlignment="1" applyProtection="1">
      <alignment horizontal="center"/>
    </xf>
    <xf numFmtId="44" fontId="58" fillId="0" borderId="29" xfId="1" applyFont="1" applyFill="1" applyBorder="1" applyAlignment="1" applyProtection="1">
      <alignment horizontal="center"/>
    </xf>
    <xf numFmtId="8" fontId="59" fillId="0" borderId="17" xfId="0" applyNumberFormat="1" applyFont="1" applyBorder="1" applyAlignment="1">
      <alignment horizontal="center"/>
    </xf>
    <xf numFmtId="165" fontId="59" fillId="0" borderId="17" xfId="0" applyNumberFormat="1" applyFont="1" applyBorder="1" applyAlignment="1">
      <alignment horizontal="center"/>
    </xf>
    <xf numFmtId="165" fontId="59" fillId="0" borderId="31" xfId="0" applyNumberFormat="1" applyFont="1" applyBorder="1" applyAlignment="1">
      <alignment horizontal="center"/>
    </xf>
    <xf numFmtId="8" fontId="59" fillId="0" borderId="33" xfId="0" applyNumberFormat="1" applyFont="1" applyBorder="1" applyAlignment="1">
      <alignment horizontal="center"/>
    </xf>
    <xf numFmtId="8" fontId="58" fillId="0" borderId="18" xfId="0" applyNumberFormat="1" applyFont="1" applyBorder="1" applyAlignment="1">
      <alignment horizontal="center"/>
    </xf>
    <xf numFmtId="8" fontId="58" fillId="0" borderId="0" xfId="1" applyNumberFormat="1" applyFont="1" applyFill="1" applyBorder="1" applyAlignment="1" applyProtection="1">
      <alignment horizontal="center"/>
    </xf>
    <xf numFmtId="44" fontId="18" fillId="0" borderId="32" xfId="1" applyFont="1" applyFill="1" applyBorder="1" applyAlignment="1" applyProtection="1">
      <alignment horizontal="center"/>
    </xf>
    <xf numFmtId="44" fontId="58" fillId="0" borderId="17" xfId="1" applyFont="1" applyFill="1" applyBorder="1" applyAlignment="1" applyProtection="1">
      <alignment horizontal="center"/>
    </xf>
    <xf numFmtId="8" fontId="58" fillId="0" borderId="22" xfId="1" applyNumberFormat="1" applyFont="1" applyFill="1" applyBorder="1" applyAlignment="1" applyProtection="1">
      <alignment horizontal="center"/>
    </xf>
    <xf numFmtId="44" fontId="58" fillId="0" borderId="11" xfId="1" applyFont="1" applyFill="1" applyBorder="1" applyAlignment="1" applyProtection="1">
      <alignment horizontal="center"/>
    </xf>
    <xf numFmtId="44" fontId="58" fillId="0" borderId="28" xfId="1" applyFont="1" applyFill="1" applyBorder="1" applyAlignment="1" applyProtection="1">
      <alignment horizontal="center"/>
    </xf>
    <xf numFmtId="44" fontId="58" fillId="0" borderId="15" xfId="1" applyFont="1" applyFill="1" applyBorder="1" applyAlignment="1" applyProtection="1">
      <alignment horizontal="center"/>
    </xf>
    <xf numFmtId="8" fontId="59" fillId="0" borderId="22" xfId="0" applyNumberFormat="1" applyFont="1" applyBorder="1" applyAlignment="1">
      <alignment horizontal="center"/>
    </xf>
    <xf numFmtId="8" fontId="59" fillId="0" borderId="0" xfId="0" applyNumberFormat="1" applyFont="1" applyAlignment="1">
      <alignment horizontal="center"/>
    </xf>
    <xf numFmtId="8" fontId="59" fillId="0" borderId="23" xfId="0" applyNumberFormat="1" applyFont="1" applyBorder="1" applyAlignment="1">
      <alignment horizontal="center"/>
    </xf>
    <xf numFmtId="0" fontId="6" fillId="7" borderId="51" xfId="0" applyFont="1" applyFill="1" applyBorder="1" applyAlignment="1">
      <alignment horizontal="center"/>
    </xf>
    <xf numFmtId="0" fontId="14" fillId="0" borderId="49" xfId="0" applyFont="1" applyBorder="1"/>
    <xf numFmtId="0" fontId="14" fillId="0" borderId="44" xfId="0" applyFont="1" applyBorder="1"/>
    <xf numFmtId="0" fontId="57" fillId="0" borderId="44" xfId="0" applyFont="1" applyBorder="1" applyAlignment="1">
      <alignment horizontal="left"/>
    </xf>
    <xf numFmtId="0" fontId="57" fillId="0" borderId="47" xfId="0" applyFont="1" applyBorder="1" applyAlignment="1">
      <alignment horizontal="left"/>
    </xf>
    <xf numFmtId="0" fontId="57" fillId="0" borderId="46" xfId="0" applyFont="1" applyBorder="1" applyAlignment="1">
      <alignment horizontal="left" indent="2"/>
    </xf>
    <xf numFmtId="0" fontId="14" fillId="0" borderId="46" xfId="0" applyFont="1" applyBorder="1" applyAlignment="1">
      <alignment horizontal="left" indent="2"/>
    </xf>
    <xf numFmtId="0" fontId="14" fillId="0" borderId="46" xfId="0" applyFont="1" applyBorder="1" applyAlignment="1" applyProtection="1">
      <alignment horizontal="left" indent="2"/>
      <protection locked="0"/>
    </xf>
    <xf numFmtId="0" fontId="57" fillId="0" borderId="51" xfId="0" applyFont="1" applyBorder="1" applyAlignment="1">
      <alignment horizontal="left"/>
    </xf>
    <xf numFmtId="0" fontId="57" fillId="0" borderId="48" xfId="0" applyFont="1" applyBorder="1" applyAlignment="1">
      <alignment horizontal="left"/>
    </xf>
    <xf numFmtId="44" fontId="58" fillId="0" borderId="32" xfId="1" applyFont="1" applyFill="1" applyBorder="1" applyAlignment="1" applyProtection="1">
      <alignment horizontal="center"/>
    </xf>
    <xf numFmtId="8" fontId="58" fillId="0" borderId="31" xfId="0" applyNumberFormat="1" applyFont="1" applyBorder="1" applyAlignment="1">
      <alignment horizontal="center"/>
    </xf>
    <xf numFmtId="44" fontId="58" fillId="0" borderId="34" xfId="1" applyFont="1" applyFill="1" applyBorder="1" applyAlignment="1" applyProtection="1">
      <alignment horizontal="center"/>
    </xf>
    <xf numFmtId="8" fontId="58" fillId="0" borderId="28" xfId="0" applyNumberFormat="1" applyFont="1" applyBorder="1" applyAlignment="1">
      <alignment horizontal="center"/>
    </xf>
    <xf numFmtId="8" fontId="59" fillId="0" borderId="31" xfId="0" applyNumberFormat="1" applyFont="1" applyBorder="1" applyAlignment="1">
      <alignment horizontal="center"/>
    </xf>
    <xf numFmtId="9" fontId="6" fillId="0" borderId="0" xfId="0" applyNumberFormat="1" applyFont="1" applyAlignment="1">
      <alignment horizontal="center"/>
    </xf>
    <xf numFmtId="0" fontId="14" fillId="0" borderId="0" xfId="0" applyFont="1" applyAlignment="1">
      <alignment horizontal="center"/>
    </xf>
    <xf numFmtId="9" fontId="6" fillId="0" borderId="18" xfId="0" applyNumberFormat="1" applyFont="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0" fontId="14" fillId="0" borderId="5" xfId="0" applyFont="1" applyBorder="1" applyAlignment="1">
      <alignment horizontal="center"/>
    </xf>
    <xf numFmtId="0" fontId="57" fillId="0" borderId="4" xfId="0" applyFont="1" applyBorder="1" applyAlignment="1">
      <alignment horizontal="left"/>
    </xf>
    <xf numFmtId="165" fontId="6" fillId="7" borderId="32" xfId="0" applyNumberFormat="1" applyFont="1" applyFill="1" applyBorder="1" applyAlignment="1">
      <alignment horizontal="center"/>
    </xf>
    <xf numFmtId="165" fontId="6" fillId="0" borderId="0" xfId="0" applyNumberFormat="1" applyFont="1" applyAlignment="1">
      <alignment horizontal="left"/>
    </xf>
    <xf numFmtId="165" fontId="6" fillId="0" borderId="19" xfId="0" applyNumberFormat="1" applyFont="1" applyBorder="1" applyAlignment="1">
      <alignment horizontal="center"/>
    </xf>
    <xf numFmtId="165" fontId="6" fillId="0" borderId="0" xfId="0" applyNumberFormat="1" applyFont="1" applyAlignment="1">
      <alignment horizontal="center"/>
    </xf>
    <xf numFmtId="165" fontId="6" fillId="0" borderId="5" xfId="0" applyNumberFormat="1" applyFont="1" applyBorder="1" applyAlignment="1">
      <alignment horizontal="center"/>
    </xf>
    <xf numFmtId="2" fontId="6" fillId="7" borderId="22" xfId="0" applyNumberFormat="1" applyFont="1" applyFill="1" applyBorder="1" applyAlignment="1">
      <alignment horizontal="center"/>
    </xf>
    <xf numFmtId="2" fontId="6" fillId="0" borderId="0" xfId="0" applyNumberFormat="1" applyFont="1" applyAlignment="1">
      <alignment horizontal="left"/>
    </xf>
    <xf numFmtId="2" fontId="6" fillId="0" borderId="19" xfId="0" applyNumberFormat="1" applyFont="1" applyBorder="1" applyAlignment="1">
      <alignment horizontal="center"/>
    </xf>
    <xf numFmtId="2" fontId="6" fillId="0" borderId="0" xfId="0" applyNumberFormat="1" applyFont="1" applyAlignment="1">
      <alignment horizontal="center"/>
    </xf>
    <xf numFmtId="2" fontId="6" fillId="0" borderId="5" xfId="0" applyNumberFormat="1" applyFont="1" applyBorder="1" applyAlignment="1">
      <alignment horizontal="center"/>
    </xf>
    <xf numFmtId="0" fontId="14" fillId="0" borderId="4" xfId="0" applyFont="1" applyBorder="1"/>
    <xf numFmtId="2" fontId="6" fillId="0" borderId="18" xfId="0" applyNumberFormat="1" applyFont="1" applyBorder="1" applyAlignment="1">
      <alignment horizontal="center"/>
    </xf>
    <xf numFmtId="0" fontId="6" fillId="0" borderId="58" xfId="0" applyFont="1" applyBorder="1" applyAlignment="1">
      <alignment horizontal="left"/>
    </xf>
    <xf numFmtId="2" fontId="6" fillId="0" borderId="57" xfId="0" applyNumberFormat="1" applyFont="1" applyBorder="1" applyAlignment="1">
      <alignment horizontal="center"/>
    </xf>
    <xf numFmtId="2" fontId="6" fillId="0" borderId="58" xfId="0" applyNumberFormat="1" applyFont="1" applyBorder="1" applyAlignment="1">
      <alignment horizontal="center"/>
    </xf>
    <xf numFmtId="2" fontId="6" fillId="0" borderId="42" xfId="0" applyNumberFormat="1" applyFont="1" applyBorder="1" applyAlignment="1">
      <alignment horizontal="center"/>
    </xf>
    <xf numFmtId="2" fontId="6" fillId="0" borderId="64" xfId="0" applyNumberFormat="1" applyFont="1" applyBorder="1" applyAlignment="1">
      <alignment horizontal="center"/>
    </xf>
    <xf numFmtId="0" fontId="20" fillId="6" borderId="17" xfId="0" applyFont="1" applyFill="1" applyBorder="1" applyAlignment="1" applyProtection="1">
      <alignment horizontal="center"/>
      <protection locked="0"/>
    </xf>
    <xf numFmtId="0" fontId="20" fillId="6" borderId="33" xfId="0" applyFont="1" applyFill="1" applyBorder="1" applyAlignment="1" applyProtection="1">
      <alignment horizontal="center"/>
      <protection locked="0"/>
    </xf>
    <xf numFmtId="1" fontId="15" fillId="0" borderId="17" xfId="0" applyNumberFormat="1" applyFont="1" applyBorder="1" applyAlignment="1" applyProtection="1">
      <alignment horizontal="center"/>
      <protection locked="0"/>
    </xf>
    <xf numFmtId="2" fontId="15" fillId="0" borderId="17" xfId="0" applyNumberFormat="1" applyFont="1" applyBorder="1" applyAlignment="1" applyProtection="1">
      <alignment horizontal="center"/>
      <protection locked="0"/>
    </xf>
    <xf numFmtId="0" fontId="6" fillId="0" borderId="4" xfId="0" applyFont="1" applyBorder="1"/>
    <xf numFmtId="0" fontId="20" fillId="5" borderId="17" xfId="0" applyFont="1" applyFill="1" applyBorder="1" applyAlignment="1">
      <alignment horizontal="center"/>
    </xf>
    <xf numFmtId="0" fontId="20" fillId="5" borderId="33" xfId="0" applyFont="1" applyFill="1" applyBorder="1" applyAlignment="1">
      <alignment horizontal="center"/>
    </xf>
    <xf numFmtId="1" fontId="15" fillId="0" borderId="17" xfId="0" applyNumberFormat="1" applyFont="1" applyBorder="1" applyAlignment="1">
      <alignment horizontal="center"/>
    </xf>
    <xf numFmtId="1" fontId="15" fillId="0" borderId="33" xfId="0" applyNumberFormat="1" applyFont="1" applyBorder="1" applyAlignment="1">
      <alignment horizontal="center"/>
    </xf>
    <xf numFmtId="2" fontId="15" fillId="0" borderId="17" xfId="0" applyNumberFormat="1" applyFont="1" applyBorder="1" applyAlignment="1">
      <alignment horizontal="center"/>
    </xf>
    <xf numFmtId="0" fontId="15" fillId="0" borderId="31" xfId="0" applyFont="1" applyBorder="1" applyAlignment="1">
      <alignment horizontal="center"/>
    </xf>
    <xf numFmtId="2" fontId="15" fillId="0" borderId="33" xfId="0" applyNumberFormat="1" applyFont="1" applyBorder="1" applyAlignment="1">
      <alignment horizontal="center"/>
    </xf>
    <xf numFmtId="2" fontId="15" fillId="0" borderId="5" xfId="0" applyNumberFormat="1" applyFont="1" applyBorder="1" applyAlignment="1">
      <alignment horizontal="center"/>
    </xf>
    <xf numFmtId="0" fontId="14" fillId="0" borderId="4" xfId="0" applyFont="1" applyBorder="1" applyAlignment="1">
      <alignment horizontal="center"/>
    </xf>
    <xf numFmtId="0" fontId="60" fillId="7" borderId="49" xfId="0" applyFont="1" applyFill="1" applyBorder="1" applyAlignment="1">
      <alignment horizontal="center"/>
    </xf>
    <xf numFmtId="0" fontId="60" fillId="7" borderId="46" xfId="0" applyFont="1" applyFill="1" applyBorder="1" applyAlignment="1">
      <alignment horizontal="center"/>
    </xf>
    <xf numFmtId="0" fontId="32" fillId="0" borderId="12" xfId="0" applyFont="1" applyBorder="1" applyAlignment="1">
      <alignment horizontal="right" vertical="center"/>
    </xf>
    <xf numFmtId="2" fontId="29" fillId="0" borderId="0" xfId="0" applyNumberFormat="1" applyFont="1" applyAlignment="1" applyProtection="1">
      <alignment horizontal="right"/>
      <protection locked="0"/>
    </xf>
    <xf numFmtId="44" fontId="31" fillId="8" borderId="17" xfId="0" applyNumberFormat="1" applyFont="1" applyFill="1" applyBorder="1" applyProtection="1">
      <protection locked="0"/>
    </xf>
    <xf numFmtId="0" fontId="29" fillId="0" borderId="0" xfId="0" applyFont="1" applyProtection="1">
      <protection locked="0"/>
    </xf>
    <xf numFmtId="0" fontId="12" fillId="0" borderId="4" xfId="0" applyFont="1" applyBorder="1" applyAlignment="1">
      <alignment horizontal="left" vertical="center"/>
    </xf>
    <xf numFmtId="0" fontId="9" fillId="0" borderId="0" xfId="0" applyFont="1" applyAlignment="1">
      <alignment horizontal="right" vertical="center"/>
    </xf>
    <xf numFmtId="0" fontId="8" fillId="0" borderId="0" xfId="0" applyFont="1" applyAlignment="1">
      <alignment horizontal="right"/>
    </xf>
    <xf numFmtId="0" fontId="8" fillId="0" borderId="5" xfId="0" applyFont="1" applyBorder="1" applyAlignment="1">
      <alignment horizontal="center"/>
    </xf>
    <xf numFmtId="0" fontId="23" fillId="0" borderId="0" xfId="0" applyFont="1"/>
    <xf numFmtId="0" fontId="9" fillId="0" borderId="0" xfId="0" applyFont="1" applyAlignment="1">
      <alignment horizontal="center" wrapText="1"/>
    </xf>
    <xf numFmtId="0" fontId="3" fillId="0" borderId="0" xfId="0" applyFont="1" applyAlignment="1">
      <alignment horizontal="center" wrapText="1"/>
    </xf>
    <xf numFmtId="0" fontId="3" fillId="0" borderId="5" xfId="0" applyFont="1" applyBorder="1" applyAlignment="1">
      <alignment horizontal="center" wrapText="1"/>
    </xf>
    <xf numFmtId="0" fontId="31" fillId="8" borderId="51" xfId="0" applyFont="1" applyFill="1" applyBorder="1" applyProtection="1">
      <protection locked="0"/>
    </xf>
    <xf numFmtId="164" fontId="31" fillId="8" borderId="17" xfId="1" applyNumberFormat="1" applyFont="1" applyFill="1" applyBorder="1" applyAlignment="1" applyProtection="1">
      <alignment horizontal="center"/>
      <protection locked="0"/>
    </xf>
    <xf numFmtId="0" fontId="29" fillId="0" borderId="0" xfId="0" applyFont="1" applyAlignment="1" applyProtection="1">
      <alignment horizontal="center"/>
      <protection locked="0"/>
    </xf>
    <xf numFmtId="167" fontId="31" fillId="8" borderId="17" xfId="2" applyNumberFormat="1" applyFont="1" applyFill="1" applyBorder="1" applyAlignment="1" applyProtection="1">
      <alignment horizontal="center"/>
      <protection locked="0"/>
    </xf>
    <xf numFmtId="165" fontId="3" fillId="0" borderId="0" xfId="0" applyNumberFormat="1" applyFont="1" applyAlignment="1">
      <alignment horizontal="center"/>
    </xf>
    <xf numFmtId="165" fontId="3" fillId="0" borderId="5" xfId="0" applyNumberFormat="1" applyFont="1" applyBorder="1" applyAlignment="1">
      <alignment horizontal="center"/>
    </xf>
    <xf numFmtId="0" fontId="3" fillId="0" borderId="18" xfId="0" applyFont="1" applyBorder="1" applyProtection="1">
      <protection locked="0"/>
    </xf>
    <xf numFmtId="0" fontId="23" fillId="0" borderId="0" xfId="0" applyFont="1" applyProtection="1">
      <protection locked="0"/>
    </xf>
    <xf numFmtId="167" fontId="31" fillId="8" borderId="17" xfId="0" applyNumberFormat="1" applyFont="1" applyFill="1" applyBorder="1" applyAlignment="1" applyProtection="1">
      <alignment horizontal="center"/>
      <protection locked="0"/>
    </xf>
    <xf numFmtId="0" fontId="9" fillId="0" borderId="20" xfId="0" applyFont="1" applyBorder="1" applyAlignment="1">
      <alignment horizontal="center"/>
    </xf>
    <xf numFmtId="0" fontId="9" fillId="0" borderId="8" xfId="0" applyFont="1" applyBorder="1" applyAlignment="1">
      <alignment horizontal="center"/>
    </xf>
    <xf numFmtId="0" fontId="9" fillId="0" borderId="21" xfId="0" applyFont="1" applyBorder="1" applyAlignment="1">
      <alignment horizontal="center"/>
    </xf>
    <xf numFmtId="2" fontId="8" fillId="0" borderId="0" xfId="0" applyNumberFormat="1" applyFont="1" applyAlignment="1">
      <alignment horizontal="center"/>
    </xf>
    <xf numFmtId="8" fontId="9" fillId="0" borderId="0" xfId="0" applyNumberFormat="1" applyFont="1"/>
    <xf numFmtId="8" fontId="9" fillId="0" borderId="5" xfId="0" applyNumberFormat="1" applyFont="1" applyBorder="1"/>
    <xf numFmtId="0" fontId="28" fillId="0" borderId="20" xfId="0" applyFont="1" applyBorder="1" applyAlignment="1">
      <alignment horizontal="left" indent="2"/>
    </xf>
    <xf numFmtId="0" fontId="8" fillId="0" borderId="8" xfId="0" applyFont="1" applyBorder="1" applyAlignment="1">
      <alignment horizontal="center"/>
    </xf>
    <xf numFmtId="0" fontId="31" fillId="0" borderId="0" xfId="0" applyFont="1" applyAlignment="1">
      <alignment horizontal="center"/>
    </xf>
    <xf numFmtId="2" fontId="26" fillId="0" borderId="4" xfId="0" applyNumberFormat="1" applyFont="1" applyBorder="1" applyAlignment="1">
      <alignment horizontal="center"/>
    </xf>
    <xf numFmtId="2" fontId="26" fillId="0" borderId="0" xfId="0" applyNumberFormat="1" applyFont="1" applyAlignment="1">
      <alignment horizontal="center"/>
    </xf>
    <xf numFmtId="44" fontId="3" fillId="0" borderId="0" xfId="0" applyNumberFormat="1" applyFont="1" applyAlignment="1">
      <alignment horizontal="center"/>
    </xf>
    <xf numFmtId="9" fontId="31" fillId="8" borderId="17" xfId="2" applyFont="1" applyFill="1" applyBorder="1" applyAlignment="1" applyProtection="1">
      <alignment horizontal="center"/>
      <protection locked="0"/>
    </xf>
    <xf numFmtId="44" fontId="31" fillId="8" borderId="17" xfId="0" applyNumberFormat="1" applyFont="1" applyFill="1" applyBorder="1" applyAlignment="1" applyProtection="1">
      <alignment horizontal="center"/>
      <protection locked="0"/>
    </xf>
    <xf numFmtId="44" fontId="23" fillId="0" borderId="0" xfId="0" applyNumberFormat="1" applyFont="1" applyAlignment="1">
      <alignment horizontal="center"/>
    </xf>
    <xf numFmtId="0" fontId="3" fillId="0" borderId="8" xfId="0" applyFont="1" applyBorder="1"/>
    <xf numFmtId="0" fontId="3" fillId="0" borderId="8" xfId="0" applyFont="1" applyBorder="1" applyAlignment="1">
      <alignment horizontal="center"/>
    </xf>
    <xf numFmtId="44" fontId="23" fillId="0" borderId="8" xfId="0" applyNumberFormat="1" applyFont="1" applyBorder="1" applyAlignment="1">
      <alignment horizontal="center"/>
    </xf>
    <xf numFmtId="0" fontId="24" fillId="0" borderId="0" xfId="0" applyFont="1" applyAlignment="1">
      <alignment horizontal="center"/>
    </xf>
    <xf numFmtId="8" fontId="31" fillId="8" borderId="17" xfId="0" applyNumberFormat="1" applyFont="1" applyFill="1" applyBorder="1" applyAlignment="1" applyProtection="1">
      <alignment horizontal="center"/>
      <protection locked="0"/>
    </xf>
    <xf numFmtId="8" fontId="31" fillId="8" borderId="17" xfId="0" applyNumberFormat="1" applyFont="1" applyFill="1" applyBorder="1" applyProtection="1">
      <protection locked="0"/>
    </xf>
    <xf numFmtId="8" fontId="3" fillId="0" borderId="0" xfId="0" applyNumberFormat="1" applyFont="1"/>
    <xf numFmtId="6" fontId="31" fillId="8" borderId="17" xfId="0" applyNumberFormat="1" applyFont="1" applyFill="1" applyBorder="1" applyAlignment="1" applyProtection="1">
      <alignment horizontal="center"/>
      <protection locked="0"/>
    </xf>
    <xf numFmtId="8" fontId="11" fillId="0" borderId="17" xfId="0" applyNumberFormat="1" applyFont="1" applyBorder="1" applyAlignment="1">
      <alignment horizontal="center"/>
    </xf>
    <xf numFmtId="0" fontId="3" fillId="0" borderId="8" xfId="0" applyFont="1" applyBorder="1" applyAlignment="1">
      <alignment horizontal="center" wrapText="1"/>
    </xf>
    <xf numFmtId="0" fontId="3" fillId="0" borderId="58" xfId="0" applyFont="1" applyBorder="1"/>
    <xf numFmtId="0" fontId="3" fillId="0" borderId="58" xfId="0" applyFont="1" applyBorder="1" applyAlignment="1">
      <alignment horizontal="center"/>
    </xf>
    <xf numFmtId="0" fontId="3" fillId="0" borderId="58" xfId="0" applyFont="1" applyBorder="1" applyAlignment="1">
      <alignment horizontal="center" wrapText="1"/>
    </xf>
    <xf numFmtId="165" fontId="3" fillId="0" borderId="0" xfId="3" applyNumberFormat="1" applyFont="1" applyFill="1" applyBorder="1" applyAlignment="1">
      <alignment horizontal="center"/>
    </xf>
    <xf numFmtId="165" fontId="31" fillId="8" borderId="17" xfId="0" applyNumberFormat="1" applyFont="1" applyFill="1" applyBorder="1" applyAlignment="1">
      <alignment horizontal="center"/>
    </xf>
    <xf numFmtId="0" fontId="61" fillId="0" borderId="0" xfId="0" applyFont="1"/>
    <xf numFmtId="1" fontId="3" fillId="0" borderId="0" xfId="3" applyNumberFormat="1" applyFont="1" applyFill="1" applyBorder="1" applyAlignment="1">
      <alignment horizontal="center"/>
    </xf>
    <xf numFmtId="0" fontId="3" fillId="0" borderId="65" xfId="0" applyFont="1" applyBorder="1"/>
    <xf numFmtId="1" fontId="3" fillId="0" borderId="65" xfId="3" applyNumberFormat="1" applyFont="1" applyFill="1" applyBorder="1" applyAlignment="1">
      <alignment horizontal="center"/>
    </xf>
    <xf numFmtId="0" fontId="3" fillId="0" borderId="65" xfId="0" quotePrefix="1" applyFont="1" applyBorder="1" applyAlignment="1">
      <alignment horizontal="center"/>
    </xf>
    <xf numFmtId="0" fontId="31" fillId="8" borderId="28" xfId="0" applyFont="1" applyFill="1" applyBorder="1" applyAlignment="1" applyProtection="1">
      <alignment horizontal="center"/>
      <protection locked="0"/>
    </xf>
    <xf numFmtId="0" fontId="61" fillId="0" borderId="65" xfId="0" applyFont="1" applyBorder="1"/>
    <xf numFmtId="5" fontId="31" fillId="8" borderId="17" xfId="3" applyNumberFormat="1" applyFont="1" applyFill="1" applyBorder="1" applyProtection="1"/>
    <xf numFmtId="0" fontId="61" fillId="0" borderId="0" xfId="0" applyFont="1" applyAlignment="1">
      <alignment horizontal="left"/>
    </xf>
    <xf numFmtId="2" fontId="26" fillId="0" borderId="58" xfId="0" applyNumberFormat="1" applyFont="1" applyBorder="1" applyAlignment="1">
      <alignment horizontal="center"/>
    </xf>
    <xf numFmtId="0" fontId="6" fillId="7" borderId="44" xfId="0" applyFont="1" applyFill="1" applyBorder="1" applyAlignment="1">
      <alignment horizontal="center"/>
    </xf>
    <xf numFmtId="0" fontId="20" fillId="10" borderId="17" xfId="0" applyFont="1" applyFill="1" applyBorder="1" applyAlignment="1">
      <alignment horizontal="center"/>
    </xf>
    <xf numFmtId="1" fontId="55" fillId="8" borderId="17" xfId="0" applyNumberFormat="1" applyFont="1" applyFill="1" applyBorder="1" applyAlignment="1" applyProtection="1">
      <alignment horizontal="center"/>
      <protection locked="0"/>
    </xf>
    <xf numFmtId="0" fontId="20" fillId="6" borderId="17" xfId="0" applyFont="1" applyFill="1" applyBorder="1" applyAlignment="1">
      <alignment horizontal="center"/>
    </xf>
    <xf numFmtId="0" fontId="9" fillId="0" borderId="4" xfId="0" applyFont="1" applyBorder="1" applyAlignment="1">
      <alignment horizontal="center"/>
    </xf>
    <xf numFmtId="0" fontId="8" fillId="9" borderId="4" xfId="0" applyFont="1" applyFill="1" applyBorder="1" applyAlignment="1">
      <alignment horizontal="right" vertical="center"/>
    </xf>
    <xf numFmtId="0" fontId="3" fillId="0" borderId="17" xfId="1" applyNumberFormat="1" applyFont="1" applyFill="1" applyBorder="1" applyAlignment="1" applyProtection="1">
      <alignment horizontal="center"/>
      <protection locked="0"/>
    </xf>
    <xf numFmtId="0" fontId="9" fillId="0" borderId="17" xfId="1" applyNumberFormat="1" applyFont="1" applyFill="1" applyBorder="1" applyAlignment="1" applyProtection="1">
      <alignment horizontal="center"/>
      <protection locked="0"/>
    </xf>
    <xf numFmtId="2" fontId="9" fillId="0" borderId="0" xfId="0" applyNumberFormat="1" applyFont="1"/>
    <xf numFmtId="1" fontId="0" fillId="0" borderId="0" xfId="0" applyNumberFormat="1"/>
    <xf numFmtId="0" fontId="0" fillId="0" borderId="18" xfId="0" applyBorder="1"/>
    <xf numFmtId="0" fontId="0" fillId="0" borderId="17" xfId="0" applyBorder="1"/>
    <xf numFmtId="1" fontId="0" fillId="0" borderId="17" xfId="0" applyNumberFormat="1" applyBorder="1" applyAlignment="1">
      <alignment horizontal="center"/>
    </xf>
    <xf numFmtId="0" fontId="3" fillId="0" borderId="17" xfId="0" applyFont="1" applyBorder="1" applyAlignment="1">
      <alignment horizontal="center"/>
    </xf>
    <xf numFmtId="9" fontId="20" fillId="5" borderId="17" xfId="0" applyNumberFormat="1" applyFont="1" applyFill="1" applyBorder="1" applyAlignment="1">
      <alignment horizontal="center"/>
    </xf>
    <xf numFmtId="9" fontId="20" fillId="5" borderId="33" xfId="0" applyNumberFormat="1" applyFont="1" applyFill="1" applyBorder="1" applyAlignment="1">
      <alignment horizontal="center"/>
    </xf>
    <xf numFmtId="9" fontId="15" fillId="4" borderId="17" xfId="0" applyNumberFormat="1" applyFont="1" applyFill="1" applyBorder="1" applyAlignment="1">
      <alignment horizontal="center"/>
    </xf>
    <xf numFmtId="9" fontId="20" fillId="3" borderId="17" xfId="0" applyNumberFormat="1" applyFont="1" applyFill="1" applyBorder="1" applyAlignment="1">
      <alignment horizontal="center"/>
    </xf>
    <xf numFmtId="9" fontId="15" fillId="4" borderId="33" xfId="0" applyNumberFormat="1" applyFont="1" applyFill="1" applyBorder="1" applyAlignment="1">
      <alignment horizontal="center"/>
    </xf>
    <xf numFmtId="9" fontId="20" fillId="3" borderId="33" xfId="0" applyNumberFormat="1" applyFont="1" applyFill="1" applyBorder="1" applyAlignment="1">
      <alignment horizontal="center"/>
    </xf>
    <xf numFmtId="165" fontId="59" fillId="0" borderId="70" xfId="0" applyNumberFormat="1" applyFont="1" applyBorder="1" applyAlignment="1">
      <alignment horizontal="left" vertical="center"/>
    </xf>
    <xf numFmtId="0" fontId="59" fillId="0" borderId="70" xfId="0" applyFont="1" applyBorder="1"/>
    <xf numFmtId="0" fontId="49" fillId="0" borderId="70" xfId="0" applyFont="1" applyBorder="1" applyAlignment="1">
      <alignment horizontal="left"/>
    </xf>
    <xf numFmtId="0" fontId="50" fillId="0" borderId="63" xfId="0" applyFont="1" applyBorder="1"/>
    <xf numFmtId="0" fontId="69" fillId="0" borderId="44" xfId="0" applyFont="1" applyBorder="1" applyAlignment="1">
      <alignment horizontal="left"/>
    </xf>
    <xf numFmtId="0" fontId="70" fillId="8" borderId="17" xfId="0" applyFont="1" applyFill="1" applyBorder="1" applyAlignment="1" applyProtection="1">
      <alignment horizontal="left"/>
      <protection locked="0"/>
    </xf>
    <xf numFmtId="0" fontId="70" fillId="8" borderId="17" xfId="0" applyFont="1" applyFill="1" applyBorder="1" applyAlignment="1" applyProtection="1">
      <alignment horizontal="center"/>
      <protection locked="0"/>
    </xf>
    <xf numFmtId="14" fontId="3" fillId="0" borderId="0" xfId="0" applyNumberFormat="1" applyFont="1"/>
    <xf numFmtId="0" fontId="71" fillId="0" borderId="0" xfId="0" applyFont="1"/>
    <xf numFmtId="49" fontId="71" fillId="0" borderId="0" xfId="0" applyNumberFormat="1" applyFont="1" applyAlignment="1">
      <alignment horizontal="center"/>
    </xf>
    <xf numFmtId="0" fontId="71" fillId="0" borderId="0" xfId="0" applyFont="1" applyAlignment="1">
      <alignment horizontal="center"/>
    </xf>
    <xf numFmtId="0" fontId="28" fillId="0" borderId="0" xfId="0" applyFont="1" applyAlignment="1">
      <alignment horizontal="center"/>
    </xf>
    <xf numFmtId="2" fontId="71" fillId="0" borderId="0" xfId="0" applyNumberFormat="1" applyFont="1" applyAlignment="1">
      <alignment horizontal="center"/>
    </xf>
    <xf numFmtId="0" fontId="70" fillId="8" borderId="17" xfId="0" applyFont="1" applyFill="1" applyBorder="1" applyAlignment="1" applyProtection="1">
      <alignment horizontal="right"/>
      <protection locked="0"/>
    </xf>
    <xf numFmtId="0" fontId="72" fillId="0" borderId="0" xfId="0" applyFont="1" applyAlignment="1">
      <alignment horizontal="left"/>
    </xf>
    <xf numFmtId="0" fontId="54" fillId="14" borderId="0" xfId="0" applyFont="1" applyFill="1" applyAlignment="1">
      <alignment horizontal="center"/>
    </xf>
    <xf numFmtId="0" fontId="22" fillId="14" borderId="12" xfId="0" applyFont="1" applyFill="1" applyBorder="1"/>
    <xf numFmtId="0" fontId="22" fillId="14" borderId="13" xfId="0" applyFont="1" applyFill="1" applyBorder="1"/>
    <xf numFmtId="0" fontId="22" fillId="14" borderId="6" xfId="0" applyFont="1" applyFill="1" applyBorder="1"/>
    <xf numFmtId="0" fontId="19" fillId="0" borderId="0" xfId="0" applyFont="1"/>
    <xf numFmtId="0" fontId="68" fillId="0" borderId="0" xfId="0" applyFont="1"/>
    <xf numFmtId="0" fontId="24" fillId="0" borderId="0" xfId="0" applyFont="1" applyAlignment="1">
      <alignment vertical="center"/>
    </xf>
    <xf numFmtId="0" fontId="70" fillId="0" borderId="0" xfId="0" applyFont="1" applyAlignment="1" applyProtection="1">
      <alignment horizontal="center"/>
      <protection locked="0"/>
    </xf>
    <xf numFmtId="0" fontId="70" fillId="0" borderId="0" xfId="0" applyFont="1" applyAlignment="1" applyProtection="1">
      <alignment horizontal="left"/>
      <protection locked="0"/>
    </xf>
    <xf numFmtId="9" fontId="31" fillId="8" borderId="51" xfId="0" applyNumberFormat="1" applyFont="1" applyFill="1" applyBorder="1" applyAlignment="1" applyProtection="1">
      <alignment horizontal="center"/>
      <protection locked="0"/>
    </xf>
    <xf numFmtId="0" fontId="3" fillId="0" borderId="0" xfId="1" applyNumberFormat="1" applyFont="1" applyFill="1" applyBorder="1" applyAlignment="1" applyProtection="1">
      <alignment horizontal="right"/>
      <protection locked="0"/>
    </xf>
    <xf numFmtId="44" fontId="23" fillId="0" borderId="0" xfId="1" applyFont="1" applyFill="1" applyBorder="1" applyAlignment="1" applyProtection="1">
      <alignment horizontal="right"/>
    </xf>
    <xf numFmtId="2" fontId="31" fillId="8" borderId="17" xfId="1" applyNumberFormat="1" applyFont="1" applyFill="1" applyBorder="1" applyAlignment="1" applyProtection="1">
      <alignment horizontal="right"/>
      <protection locked="0"/>
    </xf>
    <xf numFmtId="0" fontId="3" fillId="0" borderId="0" xfId="1" applyNumberFormat="1" applyFont="1" applyFill="1" applyBorder="1" applyAlignment="1" applyProtection="1">
      <alignment horizontal="right"/>
    </xf>
    <xf numFmtId="1" fontId="24" fillId="0" borderId="17" xfId="0" applyNumberFormat="1" applyFont="1" applyBorder="1" applyAlignment="1">
      <alignment horizontal="center"/>
    </xf>
    <xf numFmtId="1" fontId="9" fillId="0" borderId="17" xfId="0" applyNumberFormat="1" applyFont="1" applyBorder="1" applyAlignment="1">
      <alignment horizontal="center"/>
    </xf>
    <xf numFmtId="1" fontId="9" fillId="0" borderId="33" xfId="0" applyNumberFormat="1" applyFont="1" applyBorder="1" applyAlignment="1">
      <alignment horizontal="center"/>
    </xf>
    <xf numFmtId="1" fontId="9" fillId="0" borderId="0" xfId="0" applyNumberFormat="1" applyFont="1" applyAlignment="1" applyProtection="1">
      <alignment horizontal="center"/>
      <protection locked="0"/>
    </xf>
    <xf numFmtId="0" fontId="9" fillId="0" borderId="10" xfId="0" applyFont="1" applyBorder="1"/>
    <xf numFmtId="0" fontId="9" fillId="0" borderId="11" xfId="0" applyFont="1" applyBorder="1"/>
    <xf numFmtId="0" fontId="9" fillId="0" borderId="0" xfId="0" applyFont="1" applyAlignment="1" applyProtection="1">
      <alignment horizontal="center"/>
      <protection locked="0"/>
    </xf>
    <xf numFmtId="9" fontId="10" fillId="0" borderId="4" xfId="0" applyNumberFormat="1" applyFont="1" applyBorder="1" applyAlignment="1">
      <alignment horizontal="center"/>
    </xf>
    <xf numFmtId="2" fontId="29" fillId="0" borderId="0" xfId="1" applyNumberFormat="1" applyFont="1" applyFill="1" applyBorder="1" applyAlignment="1" applyProtection="1">
      <alignment horizontal="right"/>
      <protection locked="0"/>
    </xf>
    <xf numFmtId="2" fontId="9" fillId="0" borderId="0" xfId="0" applyNumberFormat="1" applyFont="1" applyAlignment="1" applyProtection="1">
      <alignment horizontal="center"/>
      <protection locked="0"/>
    </xf>
    <xf numFmtId="0" fontId="46" fillId="0" borderId="5" xfId="0" applyFont="1" applyBorder="1" applyAlignment="1">
      <alignment horizontal="center"/>
    </xf>
    <xf numFmtId="0" fontId="9" fillId="0" borderId="68" xfId="0" applyFont="1" applyBorder="1" applyAlignment="1">
      <alignment horizontal="center"/>
    </xf>
    <xf numFmtId="0" fontId="40" fillId="0" borderId="14" xfId="0" applyFont="1" applyBorder="1"/>
    <xf numFmtId="0" fontId="40" fillId="0" borderId="65" xfId="0" applyFont="1" applyBorder="1"/>
    <xf numFmtId="44" fontId="9" fillId="0" borderId="14" xfId="0" applyNumberFormat="1" applyFont="1" applyBorder="1"/>
    <xf numFmtId="0" fontId="73" fillId="0" borderId="5" xfId="0" applyFont="1" applyBorder="1" applyAlignment="1" applyProtection="1">
      <alignment horizontal="center"/>
      <protection locked="0"/>
    </xf>
    <xf numFmtId="0" fontId="73" fillId="0" borderId="6" xfId="0" applyFont="1" applyBorder="1" applyProtection="1">
      <protection locked="0"/>
    </xf>
    <xf numFmtId="9" fontId="3" fillId="0" borderId="4" xfId="0" applyNumberFormat="1" applyFont="1" applyBorder="1" applyAlignment="1">
      <alignment horizontal="right"/>
    </xf>
    <xf numFmtId="0" fontId="40" fillId="0" borderId="14" xfId="0" applyFont="1" applyBorder="1" applyProtection="1">
      <protection locked="0"/>
    </xf>
    <xf numFmtId="9" fontId="9" fillId="0" borderId="0" xfId="0" applyNumberFormat="1" applyFont="1" applyAlignment="1" applyProtection="1">
      <alignment horizontal="center"/>
      <protection locked="0"/>
    </xf>
    <xf numFmtId="0" fontId="9" fillId="0" borderId="25" xfId="0" applyFont="1" applyBorder="1"/>
    <xf numFmtId="9" fontId="6" fillId="7" borderId="17" xfId="2" applyFont="1" applyFill="1" applyBorder="1" applyAlignment="1" applyProtection="1">
      <alignment horizontal="center"/>
    </xf>
    <xf numFmtId="0" fontId="24" fillId="14" borderId="17" xfId="0" applyFont="1" applyFill="1" applyBorder="1" applyAlignment="1">
      <alignment horizontal="center"/>
    </xf>
    <xf numFmtId="0" fontId="24" fillId="14" borderId="33" xfId="0" applyFont="1" applyFill="1" applyBorder="1" applyAlignment="1">
      <alignment horizontal="center"/>
    </xf>
    <xf numFmtId="0" fontId="24" fillId="14" borderId="22" xfId="0" applyFont="1" applyFill="1" applyBorder="1" applyAlignment="1">
      <alignment horizontal="center"/>
    </xf>
    <xf numFmtId="0" fontId="24" fillId="14" borderId="23" xfId="0" applyFont="1" applyFill="1" applyBorder="1" applyAlignment="1">
      <alignment horizontal="center"/>
    </xf>
    <xf numFmtId="0" fontId="14" fillId="9" borderId="0" xfId="0" applyFont="1" applyFill="1"/>
    <xf numFmtId="0" fontId="14" fillId="9" borderId="0" xfId="0" applyFont="1" applyFill="1" applyProtection="1">
      <protection locked="0"/>
    </xf>
    <xf numFmtId="0" fontId="14" fillId="9" borderId="0" xfId="0" applyFont="1" applyFill="1" applyAlignment="1" applyProtection="1">
      <alignment horizontal="center"/>
      <protection locked="0"/>
    </xf>
    <xf numFmtId="1" fontId="14" fillId="9" borderId="0" xfId="0" applyNumberFormat="1" applyFont="1" applyFill="1" applyAlignment="1" applyProtection="1">
      <alignment horizontal="center"/>
      <protection locked="0"/>
    </xf>
    <xf numFmtId="0" fontId="18" fillId="9" borderId="0" xfId="0" applyFont="1" applyFill="1" applyProtection="1">
      <protection locked="0"/>
    </xf>
    <xf numFmtId="1" fontId="15" fillId="9" borderId="0" xfId="0" applyNumberFormat="1" applyFont="1" applyFill="1" applyAlignment="1" applyProtection="1">
      <alignment horizontal="center"/>
      <protection locked="0"/>
    </xf>
    <xf numFmtId="1" fontId="15" fillId="9" borderId="0" xfId="0" applyNumberFormat="1" applyFont="1" applyFill="1" applyAlignment="1">
      <alignment horizontal="center"/>
    </xf>
    <xf numFmtId="0" fontId="14" fillId="9" borderId="21" xfId="0" applyFont="1" applyFill="1" applyBorder="1"/>
    <xf numFmtId="0" fontId="14" fillId="9" borderId="8" xfId="0" applyFont="1" applyFill="1" applyBorder="1"/>
    <xf numFmtId="0" fontId="14" fillId="9" borderId="20" xfId="0" applyFont="1" applyFill="1" applyBorder="1"/>
    <xf numFmtId="0" fontId="15" fillId="9" borderId="0" xfId="0" applyFont="1" applyFill="1" applyAlignment="1">
      <alignment horizontal="center"/>
    </xf>
    <xf numFmtId="0" fontId="14" fillId="9" borderId="18" xfId="0" applyFont="1" applyFill="1" applyBorder="1"/>
    <xf numFmtId="1" fontId="15" fillId="9" borderId="19" xfId="0" applyNumberFormat="1" applyFont="1" applyFill="1" applyBorder="1" applyAlignment="1">
      <alignment horizontal="center"/>
    </xf>
    <xf numFmtId="0" fontId="6" fillId="9" borderId="0" xfId="0" applyFont="1" applyFill="1" applyAlignment="1">
      <alignment horizontal="center"/>
    </xf>
    <xf numFmtId="1" fontId="15" fillId="9" borderId="18" xfId="0" applyNumberFormat="1" applyFont="1" applyFill="1" applyBorder="1" applyAlignment="1">
      <alignment horizontal="center"/>
    </xf>
    <xf numFmtId="0" fontId="20" fillId="14" borderId="17" xfId="0" applyFont="1" applyFill="1" applyBorder="1" applyAlignment="1">
      <alignment horizontal="center"/>
    </xf>
    <xf numFmtId="1" fontId="15" fillId="9" borderId="17" xfId="0" applyNumberFormat="1" applyFont="1" applyFill="1" applyBorder="1" applyAlignment="1">
      <alignment horizontal="center"/>
    </xf>
    <xf numFmtId="0" fontId="20" fillId="14" borderId="42" xfId="0" applyFont="1" applyFill="1" applyBorder="1" applyAlignment="1">
      <alignment horizontal="center"/>
    </xf>
    <xf numFmtId="0" fontId="20" fillId="14" borderId="57" xfId="0" applyFont="1" applyFill="1" applyBorder="1" applyAlignment="1">
      <alignment horizontal="center"/>
    </xf>
    <xf numFmtId="0" fontId="28" fillId="9" borderId="0" xfId="0" applyFont="1" applyFill="1" applyAlignment="1">
      <alignment vertical="center"/>
    </xf>
    <xf numFmtId="0" fontId="20" fillId="14" borderId="22" xfId="0" applyFont="1" applyFill="1" applyBorder="1" applyAlignment="1">
      <alignment horizontal="center"/>
    </xf>
    <xf numFmtId="0" fontId="65" fillId="9" borderId="0" xfId="0" applyFont="1" applyFill="1" applyAlignment="1">
      <alignment horizontal="center"/>
    </xf>
    <xf numFmtId="0" fontId="66" fillId="9" borderId="0" xfId="0" applyFont="1" applyFill="1"/>
    <xf numFmtId="1" fontId="20" fillId="9" borderId="17" xfId="0" applyNumberFormat="1" applyFont="1" applyFill="1" applyBorder="1" applyAlignment="1">
      <alignment horizontal="center"/>
    </xf>
    <xf numFmtId="0" fontId="34" fillId="9" borderId="19" xfId="0" applyFont="1" applyFill="1" applyBorder="1" applyAlignment="1">
      <alignment horizontal="center" wrapText="1"/>
    </xf>
    <xf numFmtId="0" fontId="14" fillId="9" borderId="19" xfId="0" applyFont="1" applyFill="1" applyBorder="1"/>
    <xf numFmtId="1" fontId="55" fillId="9" borderId="37" xfId="0" applyNumberFormat="1" applyFont="1" applyFill="1" applyBorder="1" applyAlignment="1" applyProtection="1">
      <alignment horizontal="center"/>
      <protection locked="0"/>
    </xf>
    <xf numFmtId="1" fontId="55" fillId="9" borderId="10" xfId="0" applyNumberFormat="1" applyFont="1" applyFill="1" applyBorder="1" applyAlignment="1" applyProtection="1">
      <alignment horizontal="center"/>
      <protection locked="0"/>
    </xf>
    <xf numFmtId="1" fontId="55" fillId="9" borderId="36" xfId="0" applyNumberFormat="1" applyFont="1" applyFill="1" applyBorder="1" applyAlignment="1" applyProtection="1">
      <alignment horizontal="center"/>
      <protection locked="0"/>
    </xf>
    <xf numFmtId="0" fontId="15" fillId="9" borderId="0" xfId="0" applyFont="1" applyFill="1" applyAlignment="1">
      <alignment horizontal="center" vertical="center"/>
    </xf>
    <xf numFmtId="0" fontId="77" fillId="9" borderId="0" xfId="0" applyFont="1" applyFill="1"/>
    <xf numFmtId="0" fontId="14" fillId="9" borderId="0" xfId="0" applyFont="1" applyFill="1" applyAlignment="1">
      <alignment horizontal="center"/>
    </xf>
    <xf numFmtId="0" fontId="20" fillId="9" borderId="0" xfId="0" applyFont="1" applyFill="1" applyAlignment="1">
      <alignment horizontal="center" vertical="center"/>
    </xf>
    <xf numFmtId="0" fontId="20" fillId="9" borderId="0" xfId="0" applyFont="1" applyFill="1" applyAlignment="1">
      <alignment horizontal="center"/>
    </xf>
    <xf numFmtId="0" fontId="20" fillId="2" borderId="17" xfId="0" applyFont="1" applyFill="1" applyBorder="1" applyAlignment="1">
      <alignment horizontal="center"/>
    </xf>
    <xf numFmtId="0" fontId="34" fillId="9" borderId="37" xfId="0" applyFont="1" applyFill="1" applyBorder="1" applyAlignment="1">
      <alignment horizontal="center"/>
    </xf>
    <xf numFmtId="0" fontId="34" fillId="9" borderId="10" xfId="0" applyFont="1" applyFill="1" applyBorder="1" applyAlignment="1">
      <alignment horizontal="center"/>
    </xf>
    <xf numFmtId="0" fontId="34" fillId="9" borderId="36" xfId="0" applyFont="1" applyFill="1" applyBorder="1" applyAlignment="1">
      <alignment horizontal="center"/>
    </xf>
    <xf numFmtId="0" fontId="71" fillId="9" borderId="19" xfId="0" applyFont="1" applyFill="1" applyBorder="1" applyAlignment="1">
      <alignment horizontal="left"/>
    </xf>
    <xf numFmtId="0" fontId="71" fillId="9" borderId="0" xfId="0" applyFont="1" applyFill="1" applyAlignment="1">
      <alignment horizontal="left"/>
    </xf>
    <xf numFmtId="0" fontId="71" fillId="9" borderId="18" xfId="0" applyFont="1" applyFill="1" applyBorder="1" applyAlignment="1">
      <alignment horizontal="left"/>
    </xf>
    <xf numFmtId="2" fontId="15" fillId="9" borderId="18" xfId="0" applyNumberFormat="1" applyFont="1" applyFill="1" applyBorder="1" applyAlignment="1">
      <alignment horizontal="center"/>
    </xf>
    <xf numFmtId="0" fontId="56" fillId="8" borderId="17" xfId="0" applyFont="1" applyFill="1" applyBorder="1" applyAlignment="1" applyProtection="1">
      <alignment horizontal="center"/>
      <protection locked="0"/>
    </xf>
    <xf numFmtId="0" fontId="0" fillId="9" borderId="57" xfId="0" applyFill="1" applyBorder="1"/>
    <xf numFmtId="0" fontId="34" fillId="9" borderId="19" xfId="0" applyFont="1" applyFill="1" applyBorder="1" applyAlignment="1">
      <alignment horizontal="center"/>
    </xf>
    <xf numFmtId="0" fontId="34" fillId="9" borderId="0" xfId="0" applyFont="1" applyFill="1" applyAlignment="1">
      <alignment horizontal="center"/>
    </xf>
    <xf numFmtId="0" fontId="66" fillId="9" borderId="0" xfId="0" applyFont="1" applyFill="1" applyAlignment="1">
      <alignment horizontal="center"/>
    </xf>
    <xf numFmtId="0" fontId="79" fillId="9" borderId="0" xfId="0" applyFont="1" applyFill="1" applyAlignment="1">
      <alignment horizontal="left"/>
    </xf>
    <xf numFmtId="0" fontId="63" fillId="0" borderId="0" xfId="0" applyFont="1" applyProtection="1">
      <protection locked="0"/>
    </xf>
    <xf numFmtId="0" fontId="80" fillId="9" borderId="0" xfId="4" applyFont="1" applyFill="1" applyProtection="1"/>
    <xf numFmtId="0" fontId="79" fillId="9" borderId="0" xfId="0" applyFont="1" applyFill="1"/>
    <xf numFmtId="0" fontId="0" fillId="9" borderId="17" xfId="0" applyFill="1" applyBorder="1" applyAlignment="1">
      <alignment horizontal="center"/>
    </xf>
    <xf numFmtId="1" fontId="15" fillId="9" borderId="0" xfId="0" applyNumberFormat="1" applyFont="1" applyFill="1" applyAlignment="1">
      <alignment horizontal="center" vertical="center"/>
    </xf>
    <xf numFmtId="0" fontId="14" fillId="9" borderId="0" xfId="0" applyFont="1" applyFill="1" applyAlignment="1">
      <alignment wrapText="1"/>
    </xf>
    <xf numFmtId="0" fontId="20" fillId="15" borderId="17" xfId="0" applyFont="1" applyFill="1" applyBorder="1" applyAlignment="1">
      <alignment horizontal="center"/>
    </xf>
    <xf numFmtId="0" fontId="14" fillId="9" borderId="6" xfId="0" applyFont="1" applyFill="1" applyBorder="1"/>
    <xf numFmtId="0" fontId="14" fillId="9" borderId="13" xfId="0" applyFont="1" applyFill="1" applyBorder="1"/>
    <xf numFmtId="1" fontId="14" fillId="9" borderId="12" xfId="0" applyNumberFormat="1" applyFont="1" applyFill="1" applyBorder="1"/>
    <xf numFmtId="0" fontId="20" fillId="12" borderId="17" xfId="0" applyFont="1" applyFill="1" applyBorder="1" applyAlignment="1">
      <alignment horizontal="center"/>
    </xf>
    <xf numFmtId="0" fontId="14" fillId="9" borderId="38" xfId="0" applyFont="1" applyFill="1" applyBorder="1" applyAlignment="1">
      <alignment horizontal="center"/>
    </xf>
    <xf numFmtId="1" fontId="55" fillId="8" borderId="73" xfId="0" applyNumberFormat="1" applyFont="1" applyFill="1" applyBorder="1" applyAlignment="1" applyProtection="1">
      <alignment horizontal="center"/>
      <protection locked="0"/>
    </xf>
    <xf numFmtId="0" fontId="14" fillId="9" borderId="4" xfId="0" applyFont="1" applyFill="1" applyBorder="1" applyAlignment="1">
      <alignment horizontal="center"/>
    </xf>
    <xf numFmtId="0" fontId="14" fillId="9" borderId="5" xfId="0" applyFont="1" applyFill="1" applyBorder="1"/>
    <xf numFmtId="0" fontId="34" fillId="9" borderId="4" xfId="0" applyFont="1" applyFill="1" applyBorder="1" applyAlignment="1">
      <alignment horizontal="center"/>
    </xf>
    <xf numFmtId="0" fontId="80" fillId="9" borderId="0" xfId="4" applyFont="1" applyFill="1" applyAlignment="1" applyProtection="1">
      <alignment horizontal="left"/>
    </xf>
    <xf numFmtId="0" fontId="6" fillId="9" borderId="0" xfId="0" applyFont="1" applyFill="1" applyAlignment="1">
      <alignment horizontal="left"/>
    </xf>
    <xf numFmtId="0" fontId="6" fillId="9" borderId="31" xfId="0" applyFont="1" applyFill="1" applyBorder="1" applyAlignment="1">
      <alignment horizontal="center"/>
    </xf>
    <xf numFmtId="0" fontId="47" fillId="9" borderId="0" xfId="4" applyFill="1" applyAlignment="1" applyProtection="1"/>
    <xf numFmtId="0" fontId="20" fillId="16" borderId="17" xfId="0" applyFont="1" applyFill="1" applyBorder="1" applyAlignment="1">
      <alignment horizontal="center"/>
    </xf>
    <xf numFmtId="1" fontId="3" fillId="0" borderId="0" xfId="0" applyNumberFormat="1" applyFont="1"/>
    <xf numFmtId="0" fontId="13" fillId="0" borderId="0" xfId="0" applyFont="1" applyProtection="1">
      <protection locked="0"/>
    </xf>
    <xf numFmtId="0" fontId="3" fillId="0" borderId="8" xfId="0" applyFont="1" applyBorder="1" applyAlignment="1" applyProtection="1">
      <alignment horizontal="center" wrapText="1"/>
      <protection locked="0"/>
    </xf>
    <xf numFmtId="0" fontId="26" fillId="8" borderId="17" xfId="0" applyFont="1" applyFill="1" applyBorder="1" applyAlignment="1" applyProtection="1">
      <alignment horizontal="center"/>
      <protection locked="0"/>
    </xf>
    <xf numFmtId="1" fontId="3" fillId="0" borderId="0" xfId="0" applyNumberFormat="1" applyFont="1" applyAlignment="1">
      <alignment horizontal="center"/>
    </xf>
    <xf numFmtId="0" fontId="64" fillId="0" borderId="0" xfId="4" applyFont="1" applyFill="1" applyProtection="1"/>
    <xf numFmtId="0" fontId="82" fillId="0" borderId="0" xfId="0" applyFont="1" applyAlignment="1">
      <alignment horizontal="left"/>
    </xf>
    <xf numFmtId="0" fontId="2" fillId="0" borderId="0" xfId="0" applyFont="1" applyAlignment="1">
      <alignment wrapText="1"/>
    </xf>
    <xf numFmtId="49" fontId="0" fillId="0" borderId="0" xfId="0" applyNumberFormat="1"/>
    <xf numFmtId="0" fontId="0" fillId="0" borderId="0" xfId="0" quotePrefix="1"/>
    <xf numFmtId="0" fontId="13" fillId="9" borderId="0" xfId="0" applyFont="1" applyFill="1" applyAlignment="1">
      <alignment horizontal="center" vertical="center"/>
    </xf>
    <xf numFmtId="2" fontId="15" fillId="9" borderId="17" xfId="0" applyNumberFormat="1" applyFont="1" applyFill="1" applyBorder="1" applyAlignment="1">
      <alignment horizontal="center"/>
    </xf>
    <xf numFmtId="2" fontId="15" fillId="9" borderId="37" xfId="0" applyNumberFormat="1" applyFont="1" applyFill="1" applyBorder="1" applyAlignment="1">
      <alignment horizontal="center"/>
    </xf>
    <xf numFmtId="0" fontId="3" fillId="0" borderId="4" xfId="0" applyFont="1" applyBorder="1" applyAlignment="1" applyProtection="1">
      <alignment wrapText="1"/>
      <protection locked="0"/>
    </xf>
    <xf numFmtId="1" fontId="15" fillId="0" borderId="18" xfId="0" applyNumberFormat="1" applyFont="1" applyBorder="1" applyAlignment="1" applyProtection="1">
      <alignment horizontal="center"/>
      <protection locked="0"/>
    </xf>
    <xf numFmtId="1" fontId="15" fillId="0" borderId="19" xfId="0" applyNumberFormat="1" applyFont="1" applyBorder="1" applyAlignment="1" applyProtection="1">
      <alignment horizontal="center"/>
      <protection locked="0"/>
    </xf>
    <xf numFmtId="0" fontId="20" fillId="11" borderId="17" xfId="0" applyFont="1" applyFill="1" applyBorder="1" applyAlignment="1" applyProtection="1">
      <alignment horizontal="center"/>
      <protection locked="0"/>
    </xf>
    <xf numFmtId="0" fontId="20" fillId="11" borderId="33" xfId="0" applyFont="1" applyFill="1" applyBorder="1" applyAlignment="1" applyProtection="1">
      <alignment horizontal="center"/>
      <protection locked="0"/>
    </xf>
    <xf numFmtId="0" fontId="24" fillId="14" borderId="44" xfId="0" applyFont="1" applyFill="1" applyBorder="1" applyAlignment="1">
      <alignment horizontal="center"/>
    </xf>
    <xf numFmtId="1" fontId="9" fillId="0" borderId="51" xfId="0" applyNumberFormat="1" applyFont="1" applyBorder="1" applyAlignment="1">
      <alignment horizontal="center"/>
    </xf>
    <xf numFmtId="0" fontId="24" fillId="14" borderId="51" xfId="0" applyFont="1" applyFill="1" applyBorder="1" applyAlignment="1">
      <alignment horizontal="center"/>
    </xf>
    <xf numFmtId="2" fontId="9" fillId="0" borderId="73" xfId="0" applyNumberFormat="1" applyFont="1" applyBorder="1" applyAlignment="1">
      <alignment horizontal="center"/>
    </xf>
    <xf numFmtId="2" fontId="9" fillId="0" borderId="75" xfId="0" applyNumberFormat="1" applyFont="1" applyBorder="1" applyAlignment="1">
      <alignment horizontal="center"/>
    </xf>
    <xf numFmtId="2" fontId="9" fillId="0" borderId="76" xfId="0" applyNumberFormat="1" applyFont="1" applyBorder="1" applyAlignment="1">
      <alignment horizontal="center"/>
    </xf>
    <xf numFmtId="0" fontId="24" fillId="14" borderId="4" xfId="0" applyFont="1" applyFill="1" applyBorder="1" applyAlignment="1">
      <alignment horizontal="center"/>
    </xf>
    <xf numFmtId="1" fontId="8" fillId="9" borderId="51" xfId="0" quotePrefix="1" applyNumberFormat="1" applyFont="1" applyFill="1" applyBorder="1" applyAlignment="1">
      <alignment horizontal="center"/>
    </xf>
    <xf numFmtId="1" fontId="8" fillId="9" borderId="66" xfId="0" quotePrefix="1" applyNumberFormat="1" applyFont="1" applyFill="1" applyBorder="1" applyAlignment="1">
      <alignment horizontal="center"/>
    </xf>
    <xf numFmtId="1" fontId="8" fillId="9" borderId="73" xfId="0" quotePrefix="1" applyNumberFormat="1" applyFont="1" applyFill="1" applyBorder="1" applyAlignment="1">
      <alignment horizontal="center"/>
    </xf>
    <xf numFmtId="1" fontId="8" fillId="9" borderId="67" xfId="0" quotePrefix="1" applyNumberFormat="1" applyFont="1" applyFill="1" applyBorder="1" applyAlignment="1">
      <alignment horizontal="center"/>
    </xf>
    <xf numFmtId="0" fontId="8" fillId="9" borderId="2" xfId="0" applyFont="1" applyFill="1" applyBorder="1" applyAlignment="1">
      <alignment vertical="center"/>
    </xf>
    <xf numFmtId="0" fontId="8" fillId="9" borderId="0" xfId="0" applyFont="1" applyFill="1" applyAlignment="1">
      <alignment vertical="center"/>
    </xf>
    <xf numFmtId="0" fontId="8" fillId="9" borderId="13" xfId="0" applyFont="1" applyFill="1" applyBorder="1" applyAlignment="1">
      <alignment vertical="center"/>
    </xf>
    <xf numFmtId="0" fontId="15" fillId="9" borderId="12" xfId="0" applyFont="1" applyFill="1" applyBorder="1" applyAlignment="1">
      <alignment vertical="center"/>
    </xf>
    <xf numFmtId="0" fontId="6" fillId="0" borderId="4" xfId="0" applyFont="1" applyBorder="1" applyProtection="1">
      <protection locked="0"/>
    </xf>
    <xf numFmtId="0" fontId="3" fillId="0" borderId="5" xfId="0" applyFont="1" applyBorder="1" applyAlignment="1">
      <alignment wrapText="1"/>
    </xf>
    <xf numFmtId="166" fontId="9" fillId="0" borderId="17" xfId="0" applyNumberFormat="1" applyFont="1" applyBorder="1" applyAlignment="1">
      <alignment horizontal="center"/>
    </xf>
    <xf numFmtId="0" fontId="3" fillId="0" borderId="43" xfId="0" applyFont="1" applyBorder="1"/>
    <xf numFmtId="0" fontId="0" fillId="0" borderId="13" xfId="0" applyBorder="1" applyProtection="1">
      <protection locked="0"/>
    </xf>
    <xf numFmtId="0" fontId="9" fillId="0" borderId="12" xfId="0" applyFont="1" applyBorder="1"/>
    <xf numFmtId="0" fontId="0" fillId="0" borderId="6" xfId="0" applyBorder="1" applyProtection="1">
      <protection locked="0"/>
    </xf>
    <xf numFmtId="2" fontId="9" fillId="0" borderId="67" xfId="0" applyNumberFormat="1" applyFont="1" applyBorder="1" applyAlignment="1">
      <alignment horizontal="center"/>
    </xf>
    <xf numFmtId="1" fontId="15" fillId="0" borderId="0" xfId="0" applyNumberFormat="1" applyFont="1" applyAlignment="1" applyProtection="1">
      <alignment horizontal="center"/>
      <protection locked="0"/>
    </xf>
    <xf numFmtId="2" fontId="15" fillId="0" borderId="0" xfId="0" applyNumberFormat="1" applyFont="1" applyAlignment="1" applyProtection="1">
      <alignment horizontal="center"/>
      <protection locked="0"/>
    </xf>
    <xf numFmtId="2" fontId="15" fillId="0" borderId="0" xfId="0" applyNumberFormat="1" applyFont="1" applyAlignment="1">
      <alignment horizontal="center"/>
    </xf>
    <xf numFmtId="0" fontId="15" fillId="0" borderId="0" xfId="0" applyFont="1" applyAlignment="1">
      <alignment horizontal="center"/>
    </xf>
    <xf numFmtId="1" fontId="24" fillId="9" borderId="73" xfId="0" quotePrefix="1" applyNumberFormat="1" applyFont="1" applyFill="1" applyBorder="1" applyAlignment="1">
      <alignment horizontal="center"/>
    </xf>
    <xf numFmtId="1" fontId="24" fillId="9" borderId="67" xfId="0" quotePrefix="1" applyNumberFormat="1" applyFont="1" applyFill="1" applyBorder="1" applyAlignment="1">
      <alignment horizontal="center"/>
    </xf>
    <xf numFmtId="0" fontId="6" fillId="0" borderId="0" xfId="0" applyFont="1" applyProtection="1">
      <protection locked="0"/>
    </xf>
    <xf numFmtId="1" fontId="15" fillId="0" borderId="33" xfId="0" applyNumberFormat="1" applyFont="1" applyBorder="1" applyAlignment="1" applyProtection="1">
      <alignment horizontal="center"/>
      <protection locked="0"/>
    </xf>
    <xf numFmtId="1" fontId="15" fillId="0" borderId="5" xfId="0" applyNumberFormat="1" applyFont="1" applyBorder="1" applyAlignment="1" applyProtection="1">
      <alignment horizontal="center"/>
      <protection locked="0"/>
    </xf>
    <xf numFmtId="165" fontId="50" fillId="0" borderId="44" xfId="0" applyNumberFormat="1" applyFont="1" applyBorder="1" applyAlignment="1">
      <alignment horizontal="left" vertical="center"/>
    </xf>
    <xf numFmtId="0" fontId="28" fillId="0" borderId="8" xfId="0" applyFont="1" applyBorder="1" applyAlignment="1">
      <alignment horizontal="left"/>
    </xf>
    <xf numFmtId="8" fontId="60" fillId="0" borderId="20" xfId="0" applyNumberFormat="1" applyFont="1" applyBorder="1" applyAlignment="1">
      <alignment horizontal="center"/>
    </xf>
    <xf numFmtId="8" fontId="60" fillId="0" borderId="8" xfId="0" applyNumberFormat="1" applyFont="1" applyBorder="1" applyAlignment="1">
      <alignment horizontal="center"/>
    </xf>
    <xf numFmtId="8" fontId="60" fillId="0" borderId="21" xfId="0" applyNumberFormat="1" applyFont="1" applyBorder="1" applyAlignment="1">
      <alignment horizontal="center"/>
    </xf>
    <xf numFmtId="8" fontId="60" fillId="0" borderId="9" xfId="0" applyNumberFormat="1" applyFont="1" applyBorder="1" applyAlignment="1">
      <alignment horizontal="center"/>
    </xf>
    <xf numFmtId="2" fontId="10" fillId="0" borderId="0" xfId="0" applyNumberFormat="1" applyFont="1" applyAlignment="1">
      <alignment horizontal="center"/>
    </xf>
    <xf numFmtId="166" fontId="9" fillId="0" borderId="33" xfId="0" applyNumberFormat="1" applyFont="1" applyBorder="1" applyAlignment="1">
      <alignment horizontal="center"/>
    </xf>
    <xf numFmtId="0" fontId="3" fillId="0" borderId="0" xfId="0" applyFont="1" applyAlignment="1">
      <alignment wrapText="1"/>
    </xf>
    <xf numFmtId="0" fontId="11" fillId="0" borderId="0" xfId="0" applyFont="1" applyAlignment="1" applyProtection="1">
      <alignment horizontal="center"/>
      <protection locked="0"/>
    </xf>
    <xf numFmtId="0" fontId="33" fillId="0" borderId="0" xfId="0" applyFont="1" applyAlignment="1">
      <alignment horizontal="center"/>
    </xf>
    <xf numFmtId="0" fontId="38" fillId="0" borderId="0" xfId="0" applyFont="1" applyAlignment="1" applyProtection="1">
      <alignment horizontal="center"/>
      <protection locked="0"/>
    </xf>
    <xf numFmtId="0" fontId="38" fillId="0" borderId="0" xfId="0" applyFont="1" applyAlignment="1">
      <alignment horizontal="center"/>
    </xf>
    <xf numFmtId="0" fontId="0" fillId="0" borderId="4" xfId="0" applyBorder="1" applyProtection="1">
      <protection locked="0"/>
    </xf>
    <xf numFmtId="0" fontId="0" fillId="0" borderId="12" xfId="0" applyBorder="1" applyProtection="1">
      <protection locked="0"/>
    </xf>
    <xf numFmtId="0" fontId="47" fillId="0" borderId="0" xfId="4" applyBorder="1" applyAlignment="1" applyProtection="1">
      <protection locked="0"/>
    </xf>
    <xf numFmtId="0" fontId="47" fillId="0" borderId="5" xfId="4" applyBorder="1" applyAlignment="1" applyProtection="1">
      <protection locked="0"/>
    </xf>
    <xf numFmtId="2" fontId="14" fillId="0" borderId="0" xfId="0" applyNumberFormat="1" applyFont="1"/>
    <xf numFmtId="49" fontId="14" fillId="0" borderId="0" xfId="0" applyNumberFormat="1" applyFont="1" applyAlignment="1">
      <alignment horizontal="left"/>
    </xf>
    <xf numFmtId="2" fontId="3" fillId="0" borderId="0" xfId="0" applyNumberFormat="1" applyFont="1"/>
    <xf numFmtId="49" fontId="3" fillId="0" borderId="0" xfId="0" applyNumberFormat="1" applyFont="1" applyAlignment="1">
      <alignment horizontal="left"/>
    </xf>
    <xf numFmtId="0" fontId="24" fillId="14" borderId="4" xfId="0" applyFont="1" applyFill="1" applyBorder="1" applyAlignment="1">
      <alignment horizontal="center" vertical="center"/>
    </xf>
    <xf numFmtId="0" fontId="24" fillId="14" borderId="0" xfId="0" applyFont="1" applyFill="1" applyAlignment="1">
      <alignment horizontal="center" vertical="center"/>
    </xf>
    <xf numFmtId="0" fontId="24" fillId="14" borderId="5" xfId="0" applyFont="1" applyFill="1" applyBorder="1" applyAlignment="1">
      <alignment horizontal="center" vertical="center"/>
    </xf>
    <xf numFmtId="44" fontId="59" fillId="0" borderId="22" xfId="0" applyNumberFormat="1" applyFont="1" applyBorder="1" applyAlignment="1">
      <alignment horizontal="center"/>
    </xf>
    <xf numFmtId="165" fontId="6" fillId="7" borderId="22" xfId="0" applyNumberFormat="1" applyFont="1" applyFill="1" applyBorder="1" applyAlignment="1">
      <alignment horizontal="center"/>
    </xf>
    <xf numFmtId="2" fontId="6" fillId="7" borderId="32" xfId="0" applyNumberFormat="1" applyFont="1" applyFill="1" applyBorder="1" applyAlignment="1">
      <alignment horizontal="center"/>
    </xf>
    <xf numFmtId="165" fontId="6" fillId="0" borderId="18" xfId="0" applyNumberFormat="1" applyFont="1" applyBorder="1" applyAlignment="1">
      <alignment horizontal="left"/>
    </xf>
    <xf numFmtId="2" fontId="6" fillId="0" borderId="20" xfId="0" applyNumberFormat="1" applyFont="1" applyBorder="1" applyAlignment="1">
      <alignment horizontal="center"/>
    </xf>
    <xf numFmtId="2" fontId="6" fillId="0" borderId="8" xfId="0" applyNumberFormat="1" applyFont="1" applyBorder="1" applyAlignment="1">
      <alignment horizontal="center"/>
    </xf>
    <xf numFmtId="2" fontId="6" fillId="0" borderId="21" xfId="0" applyNumberFormat="1" applyFont="1" applyBorder="1" applyAlignment="1">
      <alignment horizontal="center"/>
    </xf>
    <xf numFmtId="2" fontId="6" fillId="0" borderId="9" xfId="0" applyNumberFormat="1" applyFont="1" applyBorder="1" applyAlignment="1">
      <alignment horizontal="center"/>
    </xf>
    <xf numFmtId="0" fontId="47" fillId="0" borderId="0" xfId="4" applyProtection="1">
      <protection locked="0"/>
    </xf>
    <xf numFmtId="9" fontId="0" fillId="0" borderId="0" xfId="0" applyNumberFormat="1"/>
    <xf numFmtId="0" fontId="82" fillId="0" borderId="0" xfId="0" applyFont="1"/>
    <xf numFmtId="0" fontId="83" fillId="0" borderId="0" xfId="0" applyFont="1"/>
    <xf numFmtId="2" fontId="3" fillId="0" borderId="0" xfId="0" applyNumberFormat="1" applyFont="1" applyAlignment="1">
      <alignment horizontal="center"/>
    </xf>
    <xf numFmtId="0" fontId="8" fillId="9" borderId="1" xfId="0" applyFont="1" applyFill="1" applyBorder="1" applyAlignment="1">
      <alignment horizontal="right" vertical="top"/>
    </xf>
    <xf numFmtId="0" fontId="12" fillId="9" borderId="12" xfId="0" applyFont="1" applyFill="1" applyBorder="1" applyAlignment="1">
      <alignment horizontal="center" vertical="center"/>
    </xf>
    <xf numFmtId="0" fontId="8" fillId="9" borderId="4" xfId="0" applyFont="1" applyFill="1" applyBorder="1" applyAlignment="1">
      <alignment vertical="top"/>
    </xf>
    <xf numFmtId="0" fontId="8" fillId="9" borderId="12" xfId="0" applyFont="1" applyFill="1" applyBorder="1" applyAlignment="1">
      <alignment vertical="top"/>
    </xf>
    <xf numFmtId="0" fontId="12" fillId="9" borderId="4" xfId="0" applyFont="1" applyFill="1" applyBorder="1" applyAlignment="1">
      <alignment horizontal="center" vertical="top"/>
    </xf>
    <xf numFmtId="0" fontId="3" fillId="9" borderId="2" xfId="0" applyFont="1" applyFill="1" applyBorder="1" applyAlignment="1">
      <alignment horizontal="left" vertical="center" wrapText="1"/>
    </xf>
    <xf numFmtId="0" fontId="3" fillId="9" borderId="3" xfId="0" applyFont="1" applyFill="1" applyBorder="1" applyAlignment="1">
      <alignment horizontal="left" vertical="center" wrapText="1"/>
    </xf>
    <xf numFmtId="0" fontId="3" fillId="9" borderId="13" xfId="0" applyFont="1" applyFill="1" applyBorder="1" applyAlignment="1">
      <alignment horizontal="left" vertical="center" wrapText="1"/>
    </xf>
    <xf numFmtId="0" fontId="3" fillId="9" borderId="6" xfId="0" applyFont="1" applyFill="1" applyBorder="1" applyAlignment="1">
      <alignment horizontal="left" vertical="center" wrapText="1"/>
    </xf>
    <xf numFmtId="0" fontId="22" fillId="14" borderId="13" xfId="0" applyFont="1" applyFill="1" applyBorder="1" applyAlignment="1">
      <alignment horizontal="center"/>
    </xf>
    <xf numFmtId="0" fontId="15" fillId="9" borderId="1"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3" fillId="9" borderId="1" xfId="0" applyFont="1" applyFill="1" applyBorder="1" applyAlignment="1">
      <alignment horizontal="left" vertical="center" wrapText="1"/>
    </xf>
    <xf numFmtId="0" fontId="28" fillId="9" borderId="4" xfId="0" applyFont="1" applyFill="1" applyBorder="1" applyAlignment="1">
      <alignment horizontal="left" vertical="center" wrapText="1" indent="3"/>
    </xf>
    <xf numFmtId="0" fontId="28" fillId="9" borderId="0" xfId="0" applyFont="1" applyFill="1" applyAlignment="1">
      <alignment horizontal="left" vertical="center" wrapText="1" indent="3"/>
    </xf>
    <xf numFmtId="0" fontId="28" fillId="9" borderId="5" xfId="0" applyFont="1" applyFill="1" applyBorder="1" applyAlignment="1">
      <alignment horizontal="left" vertical="center" wrapText="1" indent="3"/>
    </xf>
    <xf numFmtId="0" fontId="28" fillId="9" borderId="12" xfId="0" applyFont="1" applyFill="1" applyBorder="1" applyAlignment="1">
      <alignment horizontal="left" vertical="center" wrapText="1" indent="3"/>
    </xf>
    <xf numFmtId="0" fontId="28" fillId="9" borderId="13" xfId="0" applyFont="1" applyFill="1" applyBorder="1" applyAlignment="1">
      <alignment horizontal="left" vertical="center" wrapText="1" indent="3"/>
    </xf>
    <xf numFmtId="0" fontId="28" fillId="9" borderId="6" xfId="0" applyFont="1" applyFill="1" applyBorder="1" applyAlignment="1">
      <alignment horizontal="left" vertical="center" wrapText="1" indent="3"/>
    </xf>
    <xf numFmtId="0" fontId="3" fillId="9" borderId="4" xfId="0" applyFont="1" applyFill="1" applyBorder="1" applyAlignment="1">
      <alignment horizontal="left" vertical="center" wrapText="1"/>
    </xf>
    <xf numFmtId="0" fontId="3" fillId="9" borderId="0" xfId="0" applyFont="1" applyFill="1" applyAlignment="1">
      <alignment horizontal="left" vertical="center" wrapText="1"/>
    </xf>
    <xf numFmtId="0" fontId="3" fillId="9" borderId="5" xfId="0" applyFont="1" applyFill="1" applyBorder="1" applyAlignment="1">
      <alignment horizontal="left" vertical="center" wrapText="1"/>
    </xf>
    <xf numFmtId="0" fontId="8" fillId="9" borderId="13" xfId="0" applyFont="1" applyFill="1" applyBorder="1" applyAlignment="1">
      <alignment horizontal="center" vertical="center"/>
    </xf>
    <xf numFmtId="0" fontId="8" fillId="9" borderId="6" xfId="0" applyFont="1" applyFill="1" applyBorder="1" applyAlignment="1">
      <alignment horizontal="center" vertical="center"/>
    </xf>
    <xf numFmtId="0" fontId="3" fillId="9" borderId="0" xfId="0" applyFont="1" applyFill="1" applyAlignment="1">
      <alignment horizontal="left" vertical="center" indent="3"/>
    </xf>
    <xf numFmtId="0" fontId="3" fillId="9" borderId="5" xfId="0" applyFont="1" applyFill="1" applyBorder="1" applyAlignment="1">
      <alignment horizontal="left" vertical="center" indent="3"/>
    </xf>
    <xf numFmtId="0" fontId="3" fillId="9" borderId="16" xfId="0" applyFont="1" applyFill="1" applyBorder="1" applyAlignment="1">
      <alignment horizontal="left" vertical="center"/>
    </xf>
    <xf numFmtId="0" fontId="3" fillId="9" borderId="24" xfId="0" applyFont="1" applyFill="1" applyBorder="1" applyAlignment="1">
      <alignment horizontal="left" vertical="center"/>
    </xf>
    <xf numFmtId="0" fontId="3" fillId="9" borderId="2" xfId="0" applyFont="1" applyFill="1" applyBorder="1" applyAlignment="1">
      <alignment horizontal="left" vertical="center"/>
    </xf>
    <xf numFmtId="0" fontId="3" fillId="9" borderId="3" xfId="0" applyFont="1" applyFill="1" applyBorder="1" applyAlignment="1">
      <alignment horizontal="left" vertical="center"/>
    </xf>
    <xf numFmtId="0" fontId="3" fillId="9" borderId="0" xfId="0" applyFont="1" applyFill="1" applyAlignment="1">
      <alignment horizontal="left" vertical="center"/>
    </xf>
    <xf numFmtId="0" fontId="3" fillId="9" borderId="5" xfId="0" applyFont="1" applyFill="1" applyBorder="1" applyAlignment="1">
      <alignment horizontal="left" vertical="center"/>
    </xf>
    <xf numFmtId="0" fontId="3" fillId="9" borderId="13" xfId="0" applyFont="1" applyFill="1" applyBorder="1" applyAlignment="1">
      <alignment horizontal="left" vertical="center"/>
    </xf>
    <xf numFmtId="0" fontId="3" fillId="9" borderId="6" xfId="0" applyFont="1" applyFill="1" applyBorder="1" applyAlignment="1">
      <alignment horizontal="left" vertical="center"/>
    </xf>
    <xf numFmtId="0" fontId="9" fillId="9" borderId="13" xfId="0" applyFont="1" applyFill="1" applyBorder="1" applyAlignment="1">
      <alignment horizontal="left" vertical="center" indent="3"/>
    </xf>
    <xf numFmtId="0" fontId="9" fillId="9" borderId="6" xfId="0" applyFont="1" applyFill="1" applyBorder="1" applyAlignment="1">
      <alignment horizontal="left" vertical="center" indent="3"/>
    </xf>
    <xf numFmtId="0" fontId="3" fillId="9" borderId="2" xfId="0" applyFont="1" applyFill="1" applyBorder="1" applyAlignment="1">
      <alignment horizontal="left" vertical="top" wrapText="1"/>
    </xf>
    <xf numFmtId="0" fontId="3" fillId="9" borderId="3" xfId="0" applyFont="1" applyFill="1" applyBorder="1" applyAlignment="1">
      <alignment horizontal="left" vertical="top" wrapText="1"/>
    </xf>
    <xf numFmtId="0" fontId="3" fillId="9" borderId="0" xfId="0" applyFont="1" applyFill="1" applyAlignment="1">
      <alignment horizontal="left" vertical="top" wrapText="1"/>
    </xf>
    <xf numFmtId="0" fontId="3" fillId="9" borderId="5" xfId="0" applyFont="1" applyFill="1" applyBorder="1" applyAlignment="1">
      <alignment horizontal="left" vertical="top" wrapText="1"/>
    </xf>
    <xf numFmtId="0" fontId="19" fillId="14" borderId="1" xfId="0" applyFont="1" applyFill="1" applyBorder="1" applyAlignment="1">
      <alignment horizontal="center"/>
    </xf>
    <xf numFmtId="0" fontId="19" fillId="14" borderId="2" xfId="0" applyFont="1" applyFill="1" applyBorder="1" applyAlignment="1">
      <alignment horizontal="center"/>
    </xf>
    <xf numFmtId="0" fontId="19" fillId="14" borderId="3" xfId="0" applyFont="1" applyFill="1" applyBorder="1" applyAlignment="1">
      <alignment horizontal="center"/>
    </xf>
    <xf numFmtId="0" fontId="19" fillId="14" borderId="4" xfId="0" applyFont="1" applyFill="1" applyBorder="1" applyAlignment="1">
      <alignment horizontal="center"/>
    </xf>
    <xf numFmtId="0" fontId="19" fillId="14" borderId="0" xfId="0" applyFont="1" applyFill="1" applyAlignment="1">
      <alignment horizontal="center"/>
    </xf>
    <xf numFmtId="0" fontId="19" fillId="14" borderId="5" xfId="0" applyFont="1" applyFill="1" applyBorder="1" applyAlignment="1">
      <alignment horizontal="center"/>
    </xf>
    <xf numFmtId="0" fontId="3" fillId="9" borderId="0" xfId="0" applyFont="1" applyFill="1" applyAlignment="1">
      <alignment horizontal="left" vertical="center" wrapText="1" indent="3"/>
    </xf>
    <xf numFmtId="0" fontId="3" fillId="9" borderId="5" xfId="0" applyFont="1" applyFill="1" applyBorder="1" applyAlignment="1">
      <alignment horizontal="left" vertical="center" wrapText="1" indent="3"/>
    </xf>
    <xf numFmtId="0" fontId="8" fillId="9" borderId="0" xfId="0" applyFont="1" applyFill="1" applyAlignment="1">
      <alignment horizontal="center" vertical="center"/>
    </xf>
    <xf numFmtId="0" fontId="8" fillId="9" borderId="5" xfId="0" applyFont="1" applyFill="1" applyBorder="1" applyAlignment="1">
      <alignment horizontal="center" vertical="center"/>
    </xf>
    <xf numFmtId="0" fontId="8" fillId="9" borderId="1" xfId="0" applyFont="1" applyFill="1" applyBorder="1" applyAlignment="1">
      <alignment horizontal="right" vertical="top"/>
    </xf>
    <xf numFmtId="0" fontId="8" fillId="9" borderId="4" xfId="0" applyFont="1" applyFill="1" applyBorder="1" applyAlignment="1">
      <alignment horizontal="right" vertical="top"/>
    </xf>
    <xf numFmtId="0" fontId="24" fillId="14" borderId="4" xfId="0" applyFont="1" applyFill="1" applyBorder="1" applyAlignment="1">
      <alignment horizontal="center" vertical="center"/>
    </xf>
    <xf numFmtId="0" fontId="24" fillId="14" borderId="0" xfId="0" applyFont="1" applyFill="1" applyAlignment="1">
      <alignment horizontal="center" vertical="center"/>
    </xf>
    <xf numFmtId="0" fontId="24" fillId="14" borderId="5" xfId="0" applyFont="1" applyFill="1" applyBorder="1" applyAlignment="1">
      <alignment horizontal="center" vertical="center"/>
    </xf>
    <xf numFmtId="0" fontId="19" fillId="14" borderId="1" xfId="0" applyFont="1" applyFill="1" applyBorder="1" applyAlignment="1">
      <alignment horizontal="center" vertical="center"/>
    </xf>
    <xf numFmtId="0" fontId="19" fillId="14" borderId="2" xfId="0" applyFont="1" applyFill="1" applyBorder="1" applyAlignment="1">
      <alignment horizontal="center" vertical="center"/>
    </xf>
    <xf numFmtId="0" fontId="19" fillId="14" borderId="3" xfId="0" applyFont="1" applyFill="1" applyBorder="1" applyAlignment="1">
      <alignment horizontal="center" vertical="center"/>
    </xf>
    <xf numFmtId="0" fontId="19" fillId="14" borderId="4" xfId="0" applyFont="1" applyFill="1" applyBorder="1" applyAlignment="1">
      <alignment horizontal="center" vertical="center"/>
    </xf>
    <xf numFmtId="0" fontId="19" fillId="14" borderId="0" xfId="0" applyFont="1" applyFill="1" applyAlignment="1">
      <alignment horizontal="center" vertical="center"/>
    </xf>
    <xf numFmtId="0" fontId="19" fillId="14" borderId="5" xfId="0" applyFont="1" applyFill="1" applyBorder="1" applyAlignment="1">
      <alignment horizontal="center" vertical="center"/>
    </xf>
    <xf numFmtId="0" fontId="19" fillId="14" borderId="12" xfId="0" applyFont="1" applyFill="1" applyBorder="1" applyAlignment="1">
      <alignment horizontal="center" vertical="center"/>
    </xf>
    <xf numFmtId="0" fontId="19" fillId="14" borderId="13" xfId="0" applyFont="1" applyFill="1" applyBorder="1" applyAlignment="1">
      <alignment horizontal="center" vertical="center"/>
    </xf>
    <xf numFmtId="0" fontId="19" fillId="14" borderId="6" xfId="0" applyFont="1" applyFill="1" applyBorder="1" applyAlignment="1">
      <alignment horizontal="center" vertical="center"/>
    </xf>
    <xf numFmtId="0" fontId="7" fillId="7" borderId="35" xfId="0" applyFont="1" applyFill="1" applyBorder="1" applyAlignment="1">
      <alignment horizontal="center"/>
    </xf>
    <xf numFmtId="0" fontId="7" fillId="7" borderId="16" xfId="0" applyFont="1" applyFill="1" applyBorder="1" applyAlignment="1">
      <alignment horizontal="center"/>
    </xf>
    <xf numFmtId="0" fontId="7" fillId="7" borderId="24" xfId="0" applyFont="1" applyFill="1" applyBorder="1" applyAlignment="1">
      <alignment horizontal="center"/>
    </xf>
    <xf numFmtId="0" fontId="20" fillId="14" borderId="1" xfId="0" applyFont="1" applyFill="1" applyBorder="1" applyAlignment="1" applyProtection="1">
      <alignment horizontal="center"/>
      <protection locked="0"/>
    </xf>
    <xf numFmtId="0" fontId="20" fillId="14" borderId="2" xfId="0" applyFont="1" applyFill="1" applyBorder="1" applyAlignment="1" applyProtection="1">
      <alignment horizontal="center"/>
      <protection locked="0"/>
    </xf>
    <xf numFmtId="0" fontId="20" fillId="14" borderId="3" xfId="0" applyFont="1" applyFill="1" applyBorder="1" applyAlignment="1" applyProtection="1">
      <alignment horizontal="center"/>
      <protection locked="0"/>
    </xf>
    <xf numFmtId="0" fontId="0" fillId="0" borderId="71" xfId="0" applyBorder="1" applyAlignment="1">
      <alignment horizontal="left" vertical="top" wrapText="1"/>
    </xf>
    <xf numFmtId="0" fontId="0" fillId="0" borderId="4" xfId="0" applyBorder="1" applyAlignment="1">
      <alignment horizontal="left" vertical="top" wrapText="1"/>
    </xf>
    <xf numFmtId="0" fontId="20" fillId="5" borderId="4" xfId="0" applyFont="1" applyFill="1" applyBorder="1" applyAlignment="1" applyProtection="1">
      <alignment horizontal="center"/>
      <protection locked="0"/>
    </xf>
    <xf numFmtId="0" fontId="20" fillId="5" borderId="0" xfId="0" applyFont="1" applyFill="1" applyAlignment="1" applyProtection="1">
      <alignment horizontal="center"/>
      <protection locked="0"/>
    </xf>
    <xf numFmtId="0" fontId="20" fillId="5" borderId="5" xfId="0" applyFont="1" applyFill="1" applyBorder="1" applyAlignment="1" applyProtection="1">
      <alignment horizontal="center"/>
      <protection locked="0"/>
    </xf>
    <xf numFmtId="0" fontId="14" fillId="0" borderId="49" xfId="0" applyFont="1" applyBorder="1" applyAlignment="1">
      <alignment horizontal="left"/>
    </xf>
    <xf numFmtId="0" fontId="14" fillId="0" borderId="48" xfId="0" applyFont="1" applyBorder="1" applyAlignment="1">
      <alignment horizontal="left"/>
    </xf>
    <xf numFmtId="0" fontId="6" fillId="0" borderId="18" xfId="0" applyFont="1" applyBorder="1" applyAlignment="1">
      <alignment horizontal="center"/>
    </xf>
    <xf numFmtId="0" fontId="6" fillId="0" borderId="19"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20" fillId="14" borderId="35" xfId="0" applyFont="1" applyFill="1" applyBorder="1" applyAlignment="1" applyProtection="1">
      <alignment horizontal="center"/>
      <protection locked="0"/>
    </xf>
    <xf numFmtId="0" fontId="20" fillId="14" borderId="16" xfId="0" applyFont="1" applyFill="1" applyBorder="1" applyAlignment="1" applyProtection="1">
      <alignment horizontal="center"/>
      <protection locked="0"/>
    </xf>
    <xf numFmtId="0" fontId="20" fillId="14" borderId="24" xfId="0" applyFont="1" applyFill="1" applyBorder="1" applyAlignment="1" applyProtection="1">
      <alignment horizontal="center"/>
      <protection locked="0"/>
    </xf>
    <xf numFmtId="0" fontId="9" fillId="0" borderId="0" xfId="0" applyFont="1" applyAlignment="1">
      <alignment horizontal="center"/>
    </xf>
    <xf numFmtId="0" fontId="9" fillId="0" borderId="19" xfId="0" applyFont="1" applyBorder="1" applyAlignment="1">
      <alignment horizontal="center"/>
    </xf>
    <xf numFmtId="0" fontId="9" fillId="8" borderId="61" xfId="0" applyFont="1" applyFill="1" applyBorder="1" applyAlignment="1" applyProtection="1">
      <alignment horizontal="center"/>
      <protection locked="0"/>
    </xf>
    <xf numFmtId="0" fontId="9" fillId="8" borderId="59" xfId="0" applyFont="1" applyFill="1" applyBorder="1" applyAlignment="1" applyProtection="1">
      <alignment horizontal="center"/>
      <protection locked="0"/>
    </xf>
    <xf numFmtId="0" fontId="9" fillId="8" borderId="62" xfId="0" applyFont="1" applyFill="1" applyBorder="1" applyAlignment="1" applyProtection="1">
      <alignment horizontal="center"/>
      <protection locked="0"/>
    </xf>
    <xf numFmtId="0" fontId="9" fillId="8" borderId="60" xfId="0" applyFont="1" applyFill="1" applyBorder="1" applyAlignment="1" applyProtection="1">
      <alignment horizontal="center"/>
      <protection locked="0"/>
    </xf>
    <xf numFmtId="0" fontId="3" fillId="0" borderId="19" xfId="0" applyFont="1" applyBorder="1" applyAlignment="1">
      <alignment horizontal="center"/>
    </xf>
    <xf numFmtId="0" fontId="9" fillId="0" borderId="5" xfId="0" applyFont="1" applyBorder="1" applyAlignment="1">
      <alignment horizontal="center"/>
    </xf>
    <xf numFmtId="0" fontId="3" fillId="0" borderId="4" xfId="0" applyFont="1" applyBorder="1" applyAlignment="1" applyProtection="1">
      <alignment horizontal="left" wrapText="1"/>
      <protection locked="0"/>
    </xf>
    <xf numFmtId="0" fontId="5" fillId="0" borderId="26"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8" fillId="8" borderId="16" xfId="0" applyFont="1" applyFill="1" applyBorder="1" applyAlignment="1">
      <alignment horizontal="center"/>
    </xf>
    <xf numFmtId="0" fontId="23" fillId="0" borderId="18" xfId="0" applyFont="1" applyBorder="1" applyAlignment="1">
      <alignment horizontal="center"/>
    </xf>
    <xf numFmtId="0" fontId="23" fillId="0" borderId="19" xfId="0" applyFont="1" applyBorder="1" applyAlignment="1">
      <alignment horizontal="center"/>
    </xf>
    <xf numFmtId="0" fontId="9" fillId="8" borderId="35" xfId="0" applyFont="1" applyFill="1" applyBorder="1" applyAlignment="1">
      <alignment horizontal="center" vertical="center"/>
    </xf>
    <xf numFmtId="0" fontId="9" fillId="8" borderId="16" xfId="0" applyFont="1" applyFill="1" applyBorder="1" applyAlignment="1">
      <alignment horizontal="center" vertical="center"/>
    </xf>
    <xf numFmtId="0" fontId="45" fillId="0" borderId="5" xfId="0" applyFont="1" applyBorder="1" applyAlignment="1" applyProtection="1">
      <alignment horizontal="center"/>
      <protection locked="0"/>
    </xf>
    <xf numFmtId="0" fontId="9" fillId="8" borderId="35" xfId="0" applyFont="1" applyFill="1" applyBorder="1" applyAlignment="1">
      <alignment horizontal="center"/>
    </xf>
    <xf numFmtId="0" fontId="9" fillId="8" borderId="16" xfId="0" applyFont="1" applyFill="1" applyBorder="1" applyAlignment="1">
      <alignment horizontal="center"/>
    </xf>
    <xf numFmtId="0" fontId="9" fillId="8" borderId="24" xfId="0" applyFont="1" applyFill="1" applyBorder="1" applyAlignment="1">
      <alignment horizontal="center"/>
    </xf>
    <xf numFmtId="0" fontId="45" fillId="0" borderId="0" xfId="0" applyFont="1" applyAlignment="1" applyProtection="1">
      <alignment horizontal="center"/>
      <protection locked="0"/>
    </xf>
    <xf numFmtId="0" fontId="22" fillId="14" borderId="0" xfId="0" applyFont="1" applyFill="1" applyAlignment="1">
      <alignment horizontal="center"/>
    </xf>
    <xf numFmtId="0" fontId="47" fillId="0" borderId="0" xfId="4" applyAlignment="1" applyProtection="1">
      <alignment horizontal="left"/>
    </xf>
    <xf numFmtId="0" fontId="47" fillId="0" borderId="0" xfId="4" applyAlignment="1">
      <alignment horizontal="left"/>
    </xf>
    <xf numFmtId="0" fontId="20" fillId="14" borderId="20" xfId="0" applyFont="1" applyFill="1" applyBorder="1" applyAlignment="1">
      <alignment horizontal="center"/>
    </xf>
    <xf numFmtId="0" fontId="20" fillId="14" borderId="8" xfId="0" applyFont="1" applyFill="1" applyBorder="1" applyAlignment="1">
      <alignment horizontal="center"/>
    </xf>
    <xf numFmtId="0" fontId="20" fillId="14" borderId="21" xfId="0" applyFont="1" applyFill="1" applyBorder="1" applyAlignment="1">
      <alignment horizontal="center"/>
    </xf>
    <xf numFmtId="0" fontId="14" fillId="0" borderId="42" xfId="0" applyFont="1" applyBorder="1" applyAlignment="1">
      <alignment horizontal="center"/>
    </xf>
    <xf numFmtId="0" fontId="14" fillId="0" borderId="19" xfId="0" applyFont="1" applyBorder="1" applyAlignment="1">
      <alignment horizontal="center"/>
    </xf>
    <xf numFmtId="0" fontId="28" fillId="9" borderId="36" xfId="0" applyFont="1" applyFill="1" applyBorder="1" applyAlignment="1">
      <alignment horizontal="center"/>
    </xf>
    <xf numFmtId="0" fontId="28" fillId="9" borderId="10" xfId="0" applyFont="1" applyFill="1" applyBorder="1" applyAlignment="1">
      <alignment horizontal="center"/>
    </xf>
    <xf numFmtId="0" fontId="28" fillId="9" borderId="37" xfId="0" applyFont="1" applyFill="1" applyBorder="1" applyAlignment="1">
      <alignment horizontal="center"/>
    </xf>
    <xf numFmtId="49" fontId="55" fillId="8" borderId="36" xfId="0" applyNumberFormat="1" applyFont="1" applyFill="1" applyBorder="1" applyAlignment="1" applyProtection="1">
      <alignment horizontal="center"/>
      <protection locked="0"/>
    </xf>
    <xf numFmtId="49" fontId="55" fillId="8" borderId="10" xfId="0" applyNumberFormat="1" applyFont="1" applyFill="1" applyBorder="1" applyAlignment="1" applyProtection="1">
      <alignment horizontal="center"/>
      <protection locked="0"/>
    </xf>
    <xf numFmtId="49" fontId="55" fillId="8" borderId="37" xfId="0" applyNumberFormat="1" applyFont="1" applyFill="1" applyBorder="1" applyAlignment="1" applyProtection="1">
      <alignment horizontal="center"/>
      <protection locked="0"/>
    </xf>
    <xf numFmtId="0" fontId="6" fillId="9" borderId="0" xfId="0" applyFont="1" applyFill="1" applyAlignment="1" applyProtection="1">
      <alignment horizontal="left"/>
      <protection locked="0"/>
    </xf>
    <xf numFmtId="0" fontId="76" fillId="9" borderId="36" xfId="0" applyFont="1" applyFill="1" applyBorder="1" applyAlignment="1">
      <alignment horizontal="center"/>
    </xf>
    <xf numFmtId="0" fontId="76" fillId="9" borderId="10" xfId="0" applyFont="1" applyFill="1" applyBorder="1" applyAlignment="1">
      <alignment horizontal="center"/>
    </xf>
    <xf numFmtId="0" fontId="76" fillId="9" borderId="37" xfId="0" applyFont="1" applyFill="1" applyBorder="1" applyAlignment="1">
      <alignment horizontal="center"/>
    </xf>
    <xf numFmtId="0" fontId="6" fillId="9" borderId="19" xfId="0" applyFont="1" applyFill="1" applyBorder="1" applyAlignment="1">
      <alignment horizontal="center" wrapText="1"/>
    </xf>
    <xf numFmtId="0" fontId="14" fillId="9" borderId="42" xfId="0" applyFont="1" applyFill="1" applyBorder="1" applyAlignment="1">
      <alignment horizontal="center"/>
    </xf>
    <xf numFmtId="0" fontId="14" fillId="9" borderId="19" xfId="0" applyFont="1" applyFill="1" applyBorder="1" applyAlignment="1">
      <alignment horizontal="center"/>
    </xf>
    <xf numFmtId="0" fontId="14" fillId="9" borderId="21" xfId="0" applyFont="1" applyFill="1" applyBorder="1" applyAlignment="1">
      <alignment horizontal="center"/>
    </xf>
    <xf numFmtId="0" fontId="34" fillId="9" borderId="18" xfId="0" applyFont="1" applyFill="1" applyBorder="1" applyAlignment="1">
      <alignment horizontal="center"/>
    </xf>
    <xf numFmtId="0" fontId="13" fillId="9" borderId="19" xfId="0" applyFont="1" applyFill="1" applyBorder="1" applyAlignment="1">
      <alignment horizontal="center"/>
    </xf>
    <xf numFmtId="0" fontId="55" fillId="8" borderId="36" xfId="0" applyFont="1" applyFill="1" applyBorder="1" applyAlignment="1" applyProtection="1">
      <alignment horizontal="center"/>
      <protection locked="0"/>
    </xf>
    <xf numFmtId="0" fontId="55" fillId="8" borderId="37" xfId="0" applyFont="1" applyFill="1" applyBorder="1" applyAlignment="1" applyProtection="1">
      <alignment horizontal="center"/>
      <protection locked="0"/>
    </xf>
    <xf numFmtId="0" fontId="20" fillId="2" borderId="20" xfId="0" applyFont="1" applyFill="1" applyBorder="1" applyAlignment="1">
      <alignment horizontal="center"/>
    </xf>
    <xf numFmtId="0" fontId="20" fillId="2" borderId="8" xfId="0" applyFont="1" applyFill="1" applyBorder="1" applyAlignment="1">
      <alignment horizontal="center"/>
    </xf>
    <xf numFmtId="0" fontId="20" fillId="2" borderId="21" xfId="0" applyFont="1" applyFill="1" applyBorder="1" applyAlignment="1">
      <alignment horizontal="center"/>
    </xf>
    <xf numFmtId="0" fontId="66" fillId="9" borderId="0" xfId="0" applyFont="1" applyFill="1" applyAlignment="1">
      <alignment horizontal="center"/>
    </xf>
    <xf numFmtId="0" fontId="20" fillId="6" borderId="36" xfId="0" applyFont="1" applyFill="1" applyBorder="1" applyAlignment="1">
      <alignment horizontal="center"/>
    </xf>
    <xf numFmtId="0" fontId="20" fillId="6" borderId="10" xfId="0" applyFont="1" applyFill="1" applyBorder="1" applyAlignment="1">
      <alignment horizontal="center"/>
    </xf>
    <xf numFmtId="0" fontId="20" fillId="6" borderId="37" xfId="0" applyFont="1" applyFill="1" applyBorder="1" applyAlignment="1">
      <alignment horizontal="center"/>
    </xf>
    <xf numFmtId="0" fontId="20" fillId="10" borderId="36" xfId="0" applyFont="1" applyFill="1" applyBorder="1" applyAlignment="1">
      <alignment horizontal="center"/>
    </xf>
    <xf numFmtId="0" fontId="20" fillId="10" borderId="10" xfId="0" applyFont="1" applyFill="1" applyBorder="1" applyAlignment="1">
      <alignment horizontal="center"/>
    </xf>
    <xf numFmtId="0" fontId="20" fillId="10" borderId="37" xfId="0" applyFont="1" applyFill="1" applyBorder="1" applyAlignment="1">
      <alignment horizontal="center"/>
    </xf>
    <xf numFmtId="0" fontId="6" fillId="9" borderId="0" xfId="0" applyFont="1" applyFill="1" applyAlignment="1">
      <alignment horizontal="left" wrapText="1"/>
    </xf>
    <xf numFmtId="0" fontId="71" fillId="9" borderId="18" xfId="0" applyFont="1" applyFill="1" applyBorder="1" applyAlignment="1">
      <alignment horizontal="left"/>
    </xf>
    <xf numFmtId="0" fontId="71" fillId="9" borderId="0" xfId="0" applyFont="1" applyFill="1" applyAlignment="1">
      <alignment horizontal="left"/>
    </xf>
    <xf numFmtId="0" fontId="71" fillId="9" borderId="19" xfId="0" applyFont="1" applyFill="1" applyBorder="1" applyAlignment="1">
      <alignment horizontal="left"/>
    </xf>
    <xf numFmtId="0" fontId="20" fillId="15" borderId="20" xfId="0" applyFont="1" applyFill="1" applyBorder="1" applyAlignment="1">
      <alignment horizontal="center"/>
    </xf>
    <xf numFmtId="0" fontId="20" fillId="15" borderId="8" xfId="0" applyFont="1" applyFill="1" applyBorder="1" applyAlignment="1">
      <alignment horizontal="center"/>
    </xf>
    <xf numFmtId="0" fontId="20" fillId="15" borderId="21" xfId="0" applyFont="1" applyFill="1" applyBorder="1" applyAlignment="1">
      <alignment horizontal="center"/>
    </xf>
    <xf numFmtId="0" fontId="14" fillId="9" borderId="0" xfId="0" applyFont="1" applyFill="1" applyAlignment="1">
      <alignment horizontal="left" wrapText="1"/>
    </xf>
    <xf numFmtId="0" fontId="3" fillId="0" borderId="0" xfId="0" applyFont="1" applyAlignment="1">
      <alignment horizontal="left"/>
    </xf>
    <xf numFmtId="0" fontId="20" fillId="16" borderId="36" xfId="0" applyFont="1" applyFill="1" applyBorder="1" applyAlignment="1">
      <alignment horizontal="center"/>
    </xf>
    <xf numFmtId="0" fontId="20" fillId="16" borderId="10" xfId="0" applyFont="1" applyFill="1" applyBorder="1" applyAlignment="1">
      <alignment horizontal="center"/>
    </xf>
    <xf numFmtId="0" fontId="20" fillId="16" borderId="37" xfId="0" applyFont="1" applyFill="1" applyBorder="1" applyAlignment="1">
      <alignment horizontal="center"/>
    </xf>
    <xf numFmtId="0" fontId="20" fillId="12" borderId="20" xfId="0" applyFont="1" applyFill="1" applyBorder="1" applyAlignment="1">
      <alignment horizontal="center"/>
    </xf>
    <xf numFmtId="0" fontId="20" fillId="12" borderId="8" xfId="0" applyFont="1" applyFill="1" applyBorder="1" applyAlignment="1">
      <alignment horizontal="center"/>
    </xf>
    <xf numFmtId="0" fontId="20" fillId="12" borderId="21" xfId="0" applyFont="1" applyFill="1" applyBorder="1" applyAlignment="1">
      <alignment horizontal="center"/>
    </xf>
    <xf numFmtId="0" fontId="6" fillId="9" borderId="35" xfId="0" applyFont="1" applyFill="1" applyBorder="1" applyAlignment="1">
      <alignment horizontal="center"/>
    </xf>
    <xf numFmtId="0" fontId="6" fillId="9" borderId="16" xfId="0" applyFont="1" applyFill="1" applyBorder="1" applyAlignment="1">
      <alignment horizontal="center"/>
    </xf>
    <xf numFmtId="0" fontId="6" fillId="9" borderId="24" xfId="0" applyFont="1" applyFill="1" applyBorder="1" applyAlignment="1">
      <alignment horizontal="center"/>
    </xf>
    <xf numFmtId="0" fontId="14" fillId="9" borderId="8" xfId="0" applyFont="1" applyFill="1" applyBorder="1" applyAlignment="1">
      <alignment horizontal="center"/>
    </xf>
    <xf numFmtId="0" fontId="14" fillId="9" borderId="9" xfId="0" applyFont="1" applyFill="1" applyBorder="1" applyAlignment="1">
      <alignment horizontal="center"/>
    </xf>
    <xf numFmtId="0" fontId="6" fillId="9" borderId="69" xfId="0" applyFont="1" applyFill="1" applyBorder="1" applyAlignment="1">
      <alignment horizontal="center"/>
    </xf>
    <xf numFmtId="0" fontId="6" fillId="9" borderId="72" xfId="0" applyFont="1" applyFill="1" applyBorder="1" applyAlignment="1">
      <alignment horizontal="center"/>
    </xf>
    <xf numFmtId="0" fontId="20" fillId="14" borderId="57" xfId="0" applyFont="1" applyFill="1" applyBorder="1" applyAlignment="1">
      <alignment horizontal="center"/>
    </xf>
    <xf numFmtId="0" fontId="20" fillId="14" borderId="58" xfId="0" applyFont="1" applyFill="1" applyBorder="1" applyAlignment="1">
      <alignment horizontal="center"/>
    </xf>
    <xf numFmtId="0" fontId="20" fillId="14" borderId="74" xfId="0" applyFont="1" applyFill="1" applyBorder="1" applyAlignment="1">
      <alignment horizontal="center"/>
    </xf>
    <xf numFmtId="0" fontId="20" fillId="14" borderId="42" xfId="0" applyFont="1" applyFill="1" applyBorder="1" applyAlignment="1">
      <alignment horizontal="center"/>
    </xf>
    <xf numFmtId="0" fontId="6" fillId="8" borderId="36" xfId="0" applyFont="1" applyFill="1" applyBorder="1" applyAlignment="1">
      <alignment horizontal="center"/>
    </xf>
    <xf numFmtId="0" fontId="6" fillId="8" borderId="10" xfId="0" applyFont="1" applyFill="1" applyBorder="1" applyAlignment="1">
      <alignment horizontal="center"/>
    </xf>
    <xf numFmtId="0" fontId="6" fillId="8" borderId="37" xfId="0" applyFont="1" applyFill="1" applyBorder="1" applyAlignment="1">
      <alignment horizontal="center"/>
    </xf>
    <xf numFmtId="0" fontId="2" fillId="0" borderId="0" xfId="0" applyFont="1" applyAlignment="1">
      <alignment horizontal="left" wrapText="1"/>
    </xf>
    <xf numFmtId="0" fontId="9" fillId="0" borderId="13" xfId="0" applyFont="1" applyBorder="1" applyAlignment="1" applyProtection="1">
      <alignment horizontal="center"/>
      <protection locked="0"/>
    </xf>
    <xf numFmtId="0" fontId="3" fillId="0" borderId="0" xfId="0" applyFont="1" applyAlignment="1" applyProtection="1">
      <alignment horizontal="center" wrapText="1"/>
      <protection locked="0"/>
    </xf>
    <xf numFmtId="0" fontId="9" fillId="0" borderId="0" xfId="0" applyFont="1" applyAlignment="1" applyProtection="1">
      <alignment horizontal="center"/>
      <protection locked="0"/>
    </xf>
    <xf numFmtId="0" fontId="47" fillId="0" borderId="0" xfId="4" applyAlignment="1" applyProtection="1">
      <alignment horizontal="left"/>
      <protection locked="0"/>
    </xf>
    <xf numFmtId="0" fontId="8" fillId="9" borderId="0" xfId="0" applyFont="1" applyFill="1" applyAlignment="1">
      <alignment horizontal="center"/>
    </xf>
    <xf numFmtId="0" fontId="8" fillId="9" borderId="5" xfId="0" applyFont="1" applyFill="1" applyBorder="1" applyAlignment="1">
      <alignment horizontal="center"/>
    </xf>
    <xf numFmtId="9" fontId="9" fillId="8" borderId="35" xfId="0" applyNumberFormat="1" applyFont="1" applyFill="1" applyBorder="1" applyAlignment="1">
      <alignment horizontal="center"/>
    </xf>
    <xf numFmtId="9" fontId="9" fillId="8" borderId="16" xfId="0" applyNumberFormat="1" applyFont="1" applyFill="1" applyBorder="1" applyAlignment="1">
      <alignment horizontal="center"/>
    </xf>
    <xf numFmtId="9" fontId="9" fillId="8" borderId="24" xfId="0" applyNumberFormat="1" applyFont="1" applyFill="1" applyBorder="1" applyAlignment="1">
      <alignment horizontal="center"/>
    </xf>
    <xf numFmtId="0" fontId="24" fillId="14" borderId="35" xfId="0" applyFont="1" applyFill="1" applyBorder="1" applyAlignment="1">
      <alignment horizontal="center"/>
    </xf>
    <xf numFmtId="0" fontId="24" fillId="14" borderId="16" xfId="0" applyFont="1" applyFill="1" applyBorder="1" applyAlignment="1">
      <alignment horizontal="center"/>
    </xf>
    <xf numFmtId="0" fontId="24" fillId="14" borderId="24" xfId="0" applyFont="1" applyFill="1" applyBorder="1" applyAlignment="1">
      <alignment horizontal="center"/>
    </xf>
    <xf numFmtId="0" fontId="75" fillId="14" borderId="1" xfId="0" applyFont="1" applyFill="1" applyBorder="1" applyAlignment="1">
      <alignment horizontal="center"/>
    </xf>
    <xf numFmtId="0" fontId="75" fillId="14" borderId="2" xfId="0" applyFont="1" applyFill="1" applyBorder="1" applyAlignment="1">
      <alignment horizontal="center"/>
    </xf>
    <xf numFmtId="0" fontId="75" fillId="14" borderId="3" xfId="0" applyFont="1" applyFill="1" applyBorder="1" applyAlignment="1">
      <alignment horizontal="center"/>
    </xf>
    <xf numFmtId="0" fontId="3" fillId="0" borderId="0" xfId="0" applyFont="1" applyAlignment="1">
      <alignment horizontal="left" wrapText="1"/>
    </xf>
    <xf numFmtId="0" fontId="3" fillId="0" borderId="5" xfId="0" applyFont="1" applyBorder="1" applyAlignment="1">
      <alignment horizontal="left" wrapText="1"/>
    </xf>
    <xf numFmtId="0" fontId="73" fillId="0" borderId="5" xfId="0" applyFont="1" applyBorder="1" applyAlignment="1" applyProtection="1">
      <alignment horizontal="center"/>
      <protection locked="0"/>
    </xf>
    <xf numFmtId="0" fontId="24" fillId="14" borderId="1" xfId="0" applyFont="1" applyFill="1" applyBorder="1" applyAlignment="1">
      <alignment horizontal="center"/>
    </xf>
    <xf numFmtId="0" fontId="24" fillId="14" borderId="2" xfId="0" applyFont="1" applyFill="1" applyBorder="1" applyAlignment="1">
      <alignment horizontal="center"/>
    </xf>
    <xf numFmtId="0" fontId="24" fillId="14" borderId="3" xfId="0" applyFont="1" applyFill="1" applyBorder="1" applyAlignment="1">
      <alignment horizontal="center"/>
    </xf>
    <xf numFmtId="0" fontId="74" fillId="14" borderId="1" xfId="0" applyFont="1" applyFill="1" applyBorder="1" applyAlignment="1">
      <alignment horizontal="center" vertical="center"/>
    </xf>
    <xf numFmtId="0" fontId="74" fillId="14" borderId="2" xfId="0" applyFont="1" applyFill="1" applyBorder="1" applyAlignment="1">
      <alignment horizontal="center" vertical="center"/>
    </xf>
    <xf numFmtId="0" fontId="74" fillId="14" borderId="3" xfId="0" applyFont="1" applyFill="1" applyBorder="1" applyAlignment="1">
      <alignment horizontal="center" vertical="center"/>
    </xf>
    <xf numFmtId="0" fontId="74" fillId="14" borderId="4" xfId="0" applyFont="1" applyFill="1" applyBorder="1" applyAlignment="1">
      <alignment horizontal="center" vertical="center"/>
    </xf>
    <xf numFmtId="0" fontId="74" fillId="14" borderId="0" xfId="0" applyFont="1" applyFill="1" applyAlignment="1">
      <alignment horizontal="center" vertical="center"/>
    </xf>
    <xf numFmtId="0" fontId="74" fillId="14" borderId="5" xfId="0" applyFont="1" applyFill="1" applyBorder="1" applyAlignment="1">
      <alignment horizontal="center" vertical="center"/>
    </xf>
    <xf numFmtId="0" fontId="9" fillId="0" borderId="35" xfId="0" applyFont="1" applyBorder="1" applyAlignment="1">
      <alignment horizontal="center"/>
    </xf>
    <xf numFmtId="0" fontId="9" fillId="0" borderId="16" xfId="0" applyFont="1" applyBorder="1" applyAlignment="1">
      <alignment horizontal="center"/>
    </xf>
    <xf numFmtId="0" fontId="9" fillId="0" borderId="24" xfId="0" applyFont="1" applyBorder="1" applyAlignment="1">
      <alignment horizontal="center"/>
    </xf>
    <xf numFmtId="0" fontId="9" fillId="0" borderId="36"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9" fillId="0" borderId="37" xfId="0" applyFont="1" applyBorder="1" applyAlignment="1" applyProtection="1">
      <alignment horizontal="center"/>
      <protection locked="0"/>
    </xf>
    <xf numFmtId="0" fontId="3" fillId="0" borderId="0" xfId="0" applyFont="1" applyAlignment="1">
      <alignment horizontal="center" wrapText="1"/>
    </xf>
    <xf numFmtId="0" fontId="3" fillId="0" borderId="19" xfId="0" applyFont="1" applyBorder="1" applyAlignment="1">
      <alignment horizontal="center" wrapText="1"/>
    </xf>
    <xf numFmtId="0" fontId="20" fillId="14" borderId="0" xfId="0" applyFont="1" applyFill="1" applyAlignment="1">
      <alignment horizontal="center"/>
    </xf>
    <xf numFmtId="0" fontId="9" fillId="0" borderId="20" xfId="0" applyFont="1" applyBorder="1" applyAlignment="1">
      <alignment horizontal="center"/>
    </xf>
    <xf numFmtId="0" fontId="9" fillId="0" borderId="8" xfId="0" applyFont="1" applyBorder="1" applyAlignment="1">
      <alignment horizontal="center"/>
    </xf>
    <xf numFmtId="0" fontId="0" fillId="0" borderId="0" xfId="0" applyAlignment="1">
      <alignment horizontal="center" wrapText="1"/>
    </xf>
    <xf numFmtId="0" fontId="24" fillId="13" borderId="57" xfId="0" applyFont="1" applyFill="1" applyBorder="1" applyAlignment="1">
      <alignment horizontal="center"/>
    </xf>
    <xf numFmtId="0" fontId="24" fillId="13" borderId="58" xfId="0" applyFont="1" applyFill="1" applyBorder="1" applyAlignment="1">
      <alignment horizontal="center"/>
    </xf>
    <xf numFmtId="0" fontId="24" fillId="13" borderId="42" xfId="0" applyFont="1" applyFill="1" applyBorder="1" applyAlignment="1">
      <alignment horizontal="center"/>
    </xf>
    <xf numFmtId="0" fontId="0" fillId="0" borderId="0" xfId="0" applyAlignment="1">
      <alignment horizontal="left" wrapText="1"/>
    </xf>
    <xf numFmtId="0" fontId="3" fillId="0" borderId="8" xfId="0" applyFont="1" applyBorder="1" applyAlignment="1">
      <alignment horizontal="left"/>
    </xf>
    <xf numFmtId="0" fontId="22" fillId="14" borderId="4" xfId="0" applyFont="1" applyFill="1" applyBorder="1" applyAlignment="1">
      <alignment horizontal="center"/>
    </xf>
    <xf numFmtId="0" fontId="22" fillId="14" borderId="1" xfId="0" applyFont="1" applyFill="1" applyBorder="1" applyAlignment="1">
      <alignment horizontal="center"/>
    </xf>
    <xf numFmtId="0" fontId="22" fillId="14" borderId="2" xfId="0" applyFont="1" applyFill="1" applyBorder="1" applyAlignment="1">
      <alignment horizontal="center"/>
    </xf>
  </cellXfs>
  <cellStyles count="5">
    <cellStyle name="Comma" xfId="3" builtinId="3"/>
    <cellStyle name="Currency" xfId="1" builtinId="4"/>
    <cellStyle name="Hyperlink" xfId="4" builtinId="8"/>
    <cellStyle name="Normal" xfId="0" builtinId="0"/>
    <cellStyle name="Percent" xfId="2" builtinId="5"/>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18453B"/>
      <color rgb="FF0DB14B"/>
      <color rgb="FFF2C400"/>
      <color rgb="FF63C3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17/10/relationships/person" Target="persons/perso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a:t>
            </a:r>
            <a:r>
              <a:rPr lang="en-US" b="1" baseline="0"/>
              <a:t> Costs (Corn)</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Charts!$B$1</c:f>
              <c:strCache>
                <c:ptCount val="1"/>
                <c:pt idx="0">
                  <c:v>Corn</c:v>
                </c:pt>
              </c:strCache>
            </c:strRef>
          </c:tx>
          <c:spPr>
            <a:solidFill>
              <a:srgbClr val="F2C400"/>
            </a:solidFill>
            <a:ln>
              <a:noFill/>
            </a:ln>
            <a:effectLst/>
          </c:spPr>
          <c:invertIfNegative val="0"/>
          <c:cat>
            <c:strRef>
              <c:f>Charts!$A$2:$A$41</c:f>
              <c:strCache>
                <c:ptCount val="24"/>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Marketing</c:v>
                </c:pt>
                <c:pt idx="14">
                  <c:v>Hired Labor</c:v>
                </c:pt>
                <c:pt idx="15">
                  <c:v>Farm Insurance</c:v>
                </c:pt>
                <c:pt idx="16">
                  <c:v>Real Estate Taxes</c:v>
                </c:pt>
                <c:pt idx="17">
                  <c:v>Land Rent</c:v>
                </c:pt>
                <c:pt idx="18">
                  <c:v>Depreciation (Economic )</c:v>
                </c:pt>
                <c:pt idx="19">
                  <c:v>Other (variable &amp; fixed)</c:v>
                </c:pt>
                <c:pt idx="20">
                  <c:v>Income Taxes</c:v>
                </c:pt>
                <c:pt idx="21">
                  <c:v>Owner Withdrawal</c:v>
                </c:pt>
                <c:pt idx="22">
                  <c:v>Interest (Oper &amp; Term)</c:v>
                </c:pt>
                <c:pt idx="23">
                  <c:v>Principal Payment</c:v>
                </c:pt>
              </c:strCache>
            </c:strRef>
          </c:cat>
          <c:val>
            <c:numRef>
              <c:f>Charts!$B$2:$B$41</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0118-4176-9F66-FA529A985056}"/>
            </c:ext>
          </c:extLst>
        </c:ser>
        <c:dLbls>
          <c:showLegendKey val="0"/>
          <c:showVal val="0"/>
          <c:showCatName val="0"/>
          <c:showSerName val="0"/>
          <c:showPercent val="0"/>
          <c:showBubbleSize val="0"/>
        </c:dLbls>
        <c:gapWidth val="182"/>
        <c:axId val="2047158064"/>
        <c:axId val="1807838016"/>
      </c:barChart>
      <c:catAx>
        <c:axId val="2047158064"/>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807838016"/>
        <c:crosses val="autoZero"/>
        <c:auto val="1"/>
        <c:lblAlgn val="ctr"/>
        <c:lblOffset val="100"/>
        <c:noMultiLvlLbl val="0"/>
      </c:catAx>
      <c:valAx>
        <c:axId val="1807838016"/>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47158064"/>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 Costs (Soybeans)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Charts!$C$1</c:f>
              <c:strCache>
                <c:ptCount val="1"/>
                <c:pt idx="0">
                  <c:v>Soybeans</c:v>
                </c:pt>
              </c:strCache>
            </c:strRef>
          </c:tx>
          <c:spPr>
            <a:solidFill>
              <a:schemeClr val="accent1"/>
            </a:solidFill>
            <a:ln>
              <a:noFill/>
            </a:ln>
            <a:effectLst/>
          </c:spPr>
          <c:invertIfNegative val="0"/>
          <c:cat>
            <c:strRef>
              <c:f>Charts!$A$2:$A$41</c:f>
              <c:strCache>
                <c:ptCount val="24"/>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Marketing</c:v>
                </c:pt>
                <c:pt idx="14">
                  <c:v>Hired Labor</c:v>
                </c:pt>
                <c:pt idx="15">
                  <c:v>Farm Insurance</c:v>
                </c:pt>
                <c:pt idx="16">
                  <c:v>Real Estate Taxes</c:v>
                </c:pt>
                <c:pt idx="17">
                  <c:v>Land Rent</c:v>
                </c:pt>
                <c:pt idx="18">
                  <c:v>Depreciation (Economic )</c:v>
                </c:pt>
                <c:pt idx="19">
                  <c:v>Other (variable &amp; fixed)</c:v>
                </c:pt>
                <c:pt idx="20">
                  <c:v>Income Taxes</c:v>
                </c:pt>
                <c:pt idx="21">
                  <c:v>Owner Withdrawal</c:v>
                </c:pt>
                <c:pt idx="22">
                  <c:v>Interest (Oper &amp; Term)</c:v>
                </c:pt>
                <c:pt idx="23">
                  <c:v>Principal Payment</c:v>
                </c:pt>
              </c:strCache>
            </c:strRef>
          </c:cat>
          <c:val>
            <c:numRef>
              <c:f>Charts!$C$2:$C$41</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9615-4231-A1DF-B2B46C0A93E6}"/>
            </c:ext>
          </c:extLst>
        </c:ser>
        <c:dLbls>
          <c:showLegendKey val="0"/>
          <c:showVal val="0"/>
          <c:showCatName val="0"/>
          <c:showSerName val="0"/>
          <c:showPercent val="0"/>
          <c:showBubbleSize val="0"/>
        </c:dLbls>
        <c:gapWidth val="182"/>
        <c:axId val="1696257040"/>
        <c:axId val="1696913568"/>
      </c:barChart>
      <c:catAx>
        <c:axId val="169625704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96913568"/>
        <c:crosses val="autoZero"/>
        <c:auto val="1"/>
        <c:lblAlgn val="ctr"/>
        <c:lblOffset val="100"/>
        <c:noMultiLvlLbl val="0"/>
      </c:catAx>
      <c:valAx>
        <c:axId val="1696913568"/>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96257040"/>
        <c:crosses val="autoZero"/>
        <c:crossBetween val="between"/>
        <c:majorUnit val="0.2"/>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Total Costs (Wheat)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Charts!$D$1</c:f>
              <c:strCache>
                <c:ptCount val="1"/>
                <c:pt idx="0">
                  <c:v>Wheat</c:v>
                </c:pt>
              </c:strCache>
            </c:strRef>
          </c:tx>
          <c:spPr>
            <a:solidFill>
              <a:srgbClr val="0DB14B"/>
            </a:solidFill>
            <a:ln>
              <a:noFill/>
            </a:ln>
            <a:effectLst/>
          </c:spPr>
          <c:invertIfNegative val="0"/>
          <c:cat>
            <c:strRef>
              <c:f>Charts!$A$2:$A$41</c:f>
              <c:strCache>
                <c:ptCount val="24"/>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Marketing</c:v>
                </c:pt>
                <c:pt idx="14">
                  <c:v>Hired Labor</c:v>
                </c:pt>
                <c:pt idx="15">
                  <c:v>Farm Insurance</c:v>
                </c:pt>
                <c:pt idx="16">
                  <c:v>Real Estate Taxes</c:v>
                </c:pt>
                <c:pt idx="17">
                  <c:v>Land Rent</c:v>
                </c:pt>
                <c:pt idx="18">
                  <c:v>Depreciation (Economic )</c:v>
                </c:pt>
                <c:pt idx="19">
                  <c:v>Other (variable &amp; fixed)</c:v>
                </c:pt>
                <c:pt idx="20">
                  <c:v>Income Taxes</c:v>
                </c:pt>
                <c:pt idx="21">
                  <c:v>Owner Withdrawal</c:v>
                </c:pt>
                <c:pt idx="22">
                  <c:v>Interest (Oper &amp; Term)</c:v>
                </c:pt>
                <c:pt idx="23">
                  <c:v>Principal Payment</c:v>
                </c:pt>
              </c:strCache>
            </c:strRef>
          </c:cat>
          <c:val>
            <c:numRef>
              <c:f>Charts!$D$2:$D$41</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BFE9-44C3-AD01-09567EE0EAD0}"/>
            </c:ext>
          </c:extLst>
        </c:ser>
        <c:dLbls>
          <c:showLegendKey val="0"/>
          <c:showVal val="0"/>
          <c:showCatName val="0"/>
          <c:showSerName val="0"/>
          <c:showPercent val="0"/>
          <c:showBubbleSize val="0"/>
        </c:dLbls>
        <c:gapWidth val="182"/>
        <c:axId val="2057970032"/>
        <c:axId val="1646701184"/>
      </c:barChart>
      <c:catAx>
        <c:axId val="205797003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46701184"/>
        <c:crosses val="autoZero"/>
        <c:auto val="1"/>
        <c:lblAlgn val="ctr"/>
        <c:lblOffset val="100"/>
        <c:noMultiLvlLbl val="0"/>
      </c:catAx>
      <c:valAx>
        <c:axId val="1646701184"/>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57970032"/>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Comparison</a:t>
            </a:r>
            <a:r>
              <a:rPr lang="en-US" b="1" baseline="0"/>
              <a:t> of Variable and Fixed Costs</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Charts!$I$2</c:f>
              <c:strCache>
                <c:ptCount val="1"/>
                <c:pt idx="0">
                  <c:v>Variable</c:v>
                </c:pt>
              </c:strCache>
            </c:strRef>
          </c:tx>
          <c:spPr>
            <a:solidFill>
              <a:schemeClr val="accent4">
                <a:lumMod val="60000"/>
                <a:lumOff val="40000"/>
              </a:schemeClr>
            </a:solidFill>
            <a:ln>
              <a:solidFill>
                <a:schemeClr val="tx1"/>
              </a:solidFill>
            </a:ln>
            <a:effectLst/>
          </c:spPr>
          <c:invertIfNegative val="0"/>
          <c:cat>
            <c:strRef>
              <c:f>Charts!$J$1:$L$1</c:f>
              <c:strCache>
                <c:ptCount val="3"/>
                <c:pt idx="0">
                  <c:v>Corn</c:v>
                </c:pt>
                <c:pt idx="1">
                  <c:v>Soybeans</c:v>
                </c:pt>
                <c:pt idx="2">
                  <c:v>Wheat</c:v>
                </c:pt>
              </c:strCache>
            </c:strRef>
          </c:cat>
          <c:val>
            <c:numRef>
              <c:f>Charts!$J$2:$L$2</c:f>
              <c:numCache>
                <c:formatCode>_("$"* #,##0.00_);_("$"* \(#,##0.00\);_("$"* "-"??_);_(@_)</c:formatCode>
                <c:ptCount val="3"/>
                <c:pt idx="0">
                  <c:v>0</c:v>
                </c:pt>
                <c:pt idx="1">
                  <c:v>0</c:v>
                </c:pt>
                <c:pt idx="2">
                  <c:v>0</c:v>
                </c:pt>
              </c:numCache>
            </c:numRef>
          </c:val>
          <c:extLst>
            <c:ext xmlns:c16="http://schemas.microsoft.com/office/drawing/2014/chart" uri="{C3380CC4-5D6E-409C-BE32-E72D297353CC}">
              <c16:uniqueId val="{00000000-E5D8-4B44-A4AA-8AC77EAF9FD0}"/>
            </c:ext>
          </c:extLst>
        </c:ser>
        <c:ser>
          <c:idx val="1"/>
          <c:order val="1"/>
          <c:tx>
            <c:strRef>
              <c:f>Charts!$I$3</c:f>
              <c:strCache>
                <c:ptCount val="1"/>
                <c:pt idx="0">
                  <c:v>Fixed</c:v>
                </c:pt>
              </c:strCache>
            </c:strRef>
          </c:tx>
          <c:spPr>
            <a:solidFill>
              <a:srgbClr val="00B0F0"/>
            </a:solidFill>
            <a:ln>
              <a:solidFill>
                <a:schemeClr val="tx1"/>
              </a:solidFill>
            </a:ln>
            <a:effectLst/>
          </c:spPr>
          <c:invertIfNegative val="0"/>
          <c:cat>
            <c:strRef>
              <c:f>Charts!$J$1:$L$1</c:f>
              <c:strCache>
                <c:ptCount val="3"/>
                <c:pt idx="0">
                  <c:v>Corn</c:v>
                </c:pt>
                <c:pt idx="1">
                  <c:v>Soybeans</c:v>
                </c:pt>
                <c:pt idx="2">
                  <c:v>Wheat</c:v>
                </c:pt>
              </c:strCache>
            </c:strRef>
          </c:cat>
          <c:val>
            <c:numRef>
              <c:f>Charts!$J$3:$L$3</c:f>
              <c:numCache>
                <c:formatCode>_("$"* #,##0.00_);_("$"* \(#,##0.00\);_("$"* "-"??_);_(@_)</c:formatCode>
                <c:ptCount val="3"/>
                <c:pt idx="0">
                  <c:v>0</c:v>
                </c:pt>
                <c:pt idx="1">
                  <c:v>0</c:v>
                </c:pt>
                <c:pt idx="2">
                  <c:v>0</c:v>
                </c:pt>
              </c:numCache>
            </c:numRef>
          </c:val>
          <c:extLst>
            <c:ext xmlns:c16="http://schemas.microsoft.com/office/drawing/2014/chart" uri="{C3380CC4-5D6E-409C-BE32-E72D297353CC}">
              <c16:uniqueId val="{00000001-E5D8-4B44-A4AA-8AC77EAF9FD0}"/>
            </c:ext>
          </c:extLst>
        </c:ser>
        <c:dLbls>
          <c:showLegendKey val="0"/>
          <c:showVal val="0"/>
          <c:showCatName val="0"/>
          <c:showSerName val="0"/>
          <c:showPercent val="0"/>
          <c:showBubbleSize val="0"/>
        </c:dLbls>
        <c:gapWidth val="219"/>
        <c:overlap val="100"/>
        <c:axId val="1778811920"/>
        <c:axId val="942663584"/>
        <c:extLst>
          <c:ext xmlns:c15="http://schemas.microsoft.com/office/drawing/2012/chart" uri="{02D57815-91ED-43cb-92C2-25804820EDAC}">
            <c15:filteredBarSeries>
              <c15:ser>
                <c:idx val="2"/>
                <c:order val="2"/>
                <c:tx>
                  <c:strRef>
                    <c:extLst>
                      <c:ext uri="{02D57815-91ED-43cb-92C2-25804820EDAC}">
                        <c15:formulaRef>
                          <c15:sqref>Charts!$I$4</c15:sqref>
                        </c15:formulaRef>
                      </c:ext>
                    </c:extLst>
                    <c:strCache>
                      <c:ptCount val="1"/>
                      <c:pt idx="0">
                        <c:v>Variable &amp; Fixed</c:v>
                      </c:pt>
                    </c:strCache>
                  </c:strRef>
                </c:tx>
                <c:spPr>
                  <a:solidFill>
                    <a:schemeClr val="accent1">
                      <a:lumMod val="50000"/>
                    </a:schemeClr>
                  </a:solidFill>
                  <a:ln>
                    <a:noFill/>
                  </a:ln>
                  <a:effectLst/>
                </c:spPr>
                <c:invertIfNegative val="0"/>
                <c:cat>
                  <c:strRef>
                    <c:extLst>
                      <c:ext uri="{02D57815-91ED-43cb-92C2-25804820EDAC}">
                        <c15:formulaRef>
                          <c15:sqref>Charts!$J$1:$L$1</c15:sqref>
                        </c15:formulaRef>
                      </c:ext>
                    </c:extLst>
                    <c:strCache>
                      <c:ptCount val="3"/>
                      <c:pt idx="0">
                        <c:v>Corn</c:v>
                      </c:pt>
                      <c:pt idx="1">
                        <c:v>Soybeans</c:v>
                      </c:pt>
                      <c:pt idx="2">
                        <c:v>Wheat</c:v>
                      </c:pt>
                    </c:strCache>
                  </c:strRef>
                </c:cat>
                <c:val>
                  <c:numRef>
                    <c:extLst>
                      <c:ext uri="{02D57815-91ED-43cb-92C2-25804820EDAC}">
                        <c15:formulaRef>
                          <c15:sqref>Charts!$J$4:$L$4</c15:sqref>
                        </c15:formulaRef>
                      </c:ext>
                    </c:extLst>
                    <c:numCache>
                      <c:formatCode>_("$"* #,##0.00_);_("$"* \(#,##0.00\);_("$"* "-"??_);_(@_)</c:formatCode>
                      <c:ptCount val="3"/>
                      <c:pt idx="0">
                        <c:v>0</c:v>
                      </c:pt>
                      <c:pt idx="1">
                        <c:v>0</c:v>
                      </c:pt>
                      <c:pt idx="2">
                        <c:v>0</c:v>
                      </c:pt>
                    </c:numCache>
                  </c:numRef>
                </c:val>
                <c:extLst>
                  <c:ext xmlns:c16="http://schemas.microsoft.com/office/drawing/2014/chart" uri="{C3380CC4-5D6E-409C-BE32-E72D297353CC}">
                    <c16:uniqueId val="{00000002-E5D8-4B44-A4AA-8AC77EAF9FD0}"/>
                  </c:ext>
                </c:extLst>
              </c15:ser>
            </c15:filteredBarSeries>
          </c:ext>
        </c:extLst>
      </c:barChart>
      <c:catAx>
        <c:axId val="17788119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663584"/>
        <c:crosses val="autoZero"/>
        <c:auto val="1"/>
        <c:lblAlgn val="ctr"/>
        <c:lblOffset val="100"/>
        <c:noMultiLvlLbl val="0"/>
      </c:catAx>
      <c:valAx>
        <c:axId val="94266358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778811920"/>
        <c:crosses val="autoZero"/>
        <c:crossBetween val="between"/>
      </c:valAx>
      <c:spPr>
        <a:noFill/>
        <a:ln>
          <a:solidFill>
            <a:schemeClr val="tx1"/>
          </a:solidFill>
        </a:ln>
        <a:effectLst/>
      </c:spPr>
    </c:plotArea>
    <c:legend>
      <c:legendPos val="b"/>
      <c:legendEntry>
        <c:idx val="0"/>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107156</xdr:colOff>
      <xdr:row>2</xdr:row>
      <xdr:rowOff>166687</xdr:rowOff>
    </xdr:from>
    <xdr:to>
      <xdr:col>2</xdr:col>
      <xdr:colOff>1607789</xdr:colOff>
      <xdr:row>5</xdr:row>
      <xdr:rowOff>95250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 y="547687"/>
          <a:ext cx="26817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93166</xdr:colOff>
      <xdr:row>2</xdr:row>
      <xdr:rowOff>169333</xdr:rowOff>
    </xdr:from>
    <xdr:to>
      <xdr:col>17</xdr:col>
      <xdr:colOff>1548079</xdr:colOff>
      <xdr:row>5</xdr:row>
      <xdr:rowOff>85196</xdr:rowOff>
    </xdr:to>
    <xdr:pic>
      <xdr:nvPicPr>
        <xdr:cNvPr id="4" name="Picture 3">
          <a:extLst>
            <a:ext uri="{FF2B5EF4-FFF2-40B4-BE49-F238E27FC236}">
              <a16:creationId xmlns:a16="http://schemas.microsoft.com/office/drawing/2014/main" id="{F2F94B30-CBBD-4F70-8B11-4971C4DC70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2499" y="558800"/>
          <a:ext cx="2674113" cy="50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51595</xdr:colOff>
      <xdr:row>155</xdr:row>
      <xdr:rowOff>47629</xdr:rowOff>
    </xdr:from>
    <xdr:to>
      <xdr:col>4</xdr:col>
      <xdr:colOff>678656</xdr:colOff>
      <xdr:row>183</xdr:row>
      <xdr:rowOff>35718</xdr:rowOff>
    </xdr:to>
    <xdr:graphicFrame macro="">
      <xdr:nvGraphicFramePr>
        <xdr:cNvPr id="6" name="Chart 5">
          <a:extLst>
            <a:ext uri="{FF2B5EF4-FFF2-40B4-BE49-F238E27FC236}">
              <a16:creationId xmlns:a16="http://schemas.microsoft.com/office/drawing/2014/main" id="{3C32D511-0CA8-4129-A406-BB0EEF258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935833</xdr:colOff>
      <xdr:row>153</xdr:row>
      <xdr:rowOff>209545</xdr:rowOff>
    </xdr:from>
    <xdr:to>
      <xdr:col>12</xdr:col>
      <xdr:colOff>1084530</xdr:colOff>
      <xdr:row>181</xdr:row>
      <xdr:rowOff>197640</xdr:rowOff>
    </xdr:to>
    <xdr:graphicFrame macro="">
      <xdr:nvGraphicFramePr>
        <xdr:cNvPr id="7" name="Chart 6">
          <a:extLst>
            <a:ext uri="{FF2B5EF4-FFF2-40B4-BE49-F238E27FC236}">
              <a16:creationId xmlns:a16="http://schemas.microsoft.com/office/drawing/2014/main" id="{10F78EC2-6EA0-47D0-8BAB-E75114BD6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63500</xdr:colOff>
      <xdr:row>182</xdr:row>
      <xdr:rowOff>45771</xdr:rowOff>
    </xdr:from>
    <xdr:to>
      <xdr:col>4</xdr:col>
      <xdr:colOff>726283</xdr:colOff>
      <xdr:row>209</xdr:row>
      <xdr:rowOff>55555</xdr:rowOff>
    </xdr:to>
    <xdr:graphicFrame macro="">
      <xdr:nvGraphicFramePr>
        <xdr:cNvPr id="8" name="Chart 7">
          <a:extLst>
            <a:ext uri="{FF2B5EF4-FFF2-40B4-BE49-F238E27FC236}">
              <a16:creationId xmlns:a16="http://schemas.microsoft.com/office/drawing/2014/main" id="{3857ECDC-3777-45E0-A97D-4BBE4CA77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5</xdr:col>
      <xdr:colOff>83344</xdr:colOff>
      <xdr:row>182</xdr:row>
      <xdr:rowOff>234156</xdr:rowOff>
    </xdr:from>
    <xdr:to>
      <xdr:col>12</xdr:col>
      <xdr:colOff>1075005</xdr:colOff>
      <xdr:row>204</xdr:row>
      <xdr:rowOff>65088</xdr:rowOff>
    </xdr:to>
    <xdr:graphicFrame macro="">
      <xdr:nvGraphicFramePr>
        <xdr:cNvPr id="9" name="Chart 8">
          <a:extLst>
            <a:ext uri="{FF2B5EF4-FFF2-40B4-BE49-F238E27FC236}">
              <a16:creationId xmlns:a16="http://schemas.microsoft.com/office/drawing/2014/main" id="{D8B86386-B3F9-4514-87E0-9328A1B40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107156</xdr:colOff>
      <xdr:row>0</xdr:row>
      <xdr:rowOff>52387</xdr:rowOff>
    </xdr:from>
    <xdr:ext cx="2681733" cy="519113"/>
    <xdr:pic>
      <xdr:nvPicPr>
        <xdr:cNvPr id="13" name="Picture 12">
          <a:extLst>
            <a:ext uri="{FF2B5EF4-FFF2-40B4-BE49-F238E27FC236}">
              <a16:creationId xmlns:a16="http://schemas.microsoft.com/office/drawing/2014/main" id="{EB48BA07-1F19-4C69-B1AE-743FC6C705A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7156" y="52387"/>
          <a:ext cx="26817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47624</xdr:colOff>
      <xdr:row>77</xdr:row>
      <xdr:rowOff>56357</xdr:rowOff>
    </xdr:from>
    <xdr:ext cx="1905000" cy="368758"/>
    <xdr:pic>
      <xdr:nvPicPr>
        <xdr:cNvPr id="2" name="Picture 1">
          <a:extLst>
            <a:ext uri="{FF2B5EF4-FFF2-40B4-BE49-F238E27FC236}">
              <a16:creationId xmlns:a16="http://schemas.microsoft.com/office/drawing/2014/main" id="{18F68BB6-3506-4AF9-8AA6-5362E6B9DE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4" y="13040837"/>
          <a:ext cx="1905000" cy="36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21702</xdr:colOff>
      <xdr:row>46</xdr:row>
      <xdr:rowOff>28575</xdr:rowOff>
    </xdr:from>
    <xdr:ext cx="2869246" cy="3701335"/>
    <xdr:pic>
      <xdr:nvPicPr>
        <xdr:cNvPr id="8" name="Picture 7">
          <a:extLst>
            <a:ext uri="{FF2B5EF4-FFF2-40B4-BE49-F238E27FC236}">
              <a16:creationId xmlns:a16="http://schemas.microsoft.com/office/drawing/2014/main" id="{F44C8A0E-0A61-4EEB-B868-5FADA1C67B88}"/>
            </a:ext>
          </a:extLst>
        </xdr:cNvPr>
        <xdr:cNvPicPr>
          <a:picLocks noChangeAspect="1"/>
        </xdr:cNvPicPr>
      </xdr:nvPicPr>
      <xdr:blipFill>
        <a:blip xmlns:r="http://schemas.openxmlformats.org/officeDocument/2006/relationships" r:embed="rId2"/>
        <a:stretch>
          <a:fillRect/>
        </a:stretch>
      </xdr:blipFill>
      <xdr:spPr>
        <a:xfrm>
          <a:off x="9165702" y="8075295"/>
          <a:ext cx="2869246" cy="370133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76200</xdr:colOff>
      <xdr:row>1</xdr:row>
      <xdr:rowOff>152400</xdr:rowOff>
    </xdr:from>
    <xdr:ext cx="3043979" cy="3575521"/>
    <xdr:pic>
      <xdr:nvPicPr>
        <xdr:cNvPr id="2" name="Picture 1">
          <a:extLst>
            <a:ext uri="{FF2B5EF4-FFF2-40B4-BE49-F238E27FC236}">
              <a16:creationId xmlns:a16="http://schemas.microsoft.com/office/drawing/2014/main" id="{503DFF6D-8057-482E-8B14-41E245CB7086}"/>
            </a:ext>
          </a:extLst>
        </xdr:cNvPr>
        <xdr:cNvPicPr>
          <a:picLocks noChangeAspect="1"/>
        </xdr:cNvPicPr>
      </xdr:nvPicPr>
      <xdr:blipFill>
        <a:blip xmlns:r="http://schemas.openxmlformats.org/officeDocument/2006/relationships" r:embed="rId1"/>
        <a:stretch>
          <a:fillRect/>
        </a:stretch>
      </xdr:blipFill>
      <xdr:spPr>
        <a:xfrm>
          <a:off x="1905000" y="335280"/>
          <a:ext cx="3043979" cy="35755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8</xdr:col>
      <xdr:colOff>28575</xdr:colOff>
      <xdr:row>26</xdr:row>
      <xdr:rowOff>123825</xdr:rowOff>
    </xdr:from>
    <xdr:to>
      <xdr:col>14</xdr:col>
      <xdr:colOff>457955</xdr:colOff>
      <xdr:row>56</xdr:row>
      <xdr:rowOff>48413</xdr:rowOff>
    </xdr:to>
    <xdr:pic>
      <xdr:nvPicPr>
        <xdr:cNvPr id="3" name="Picture 2">
          <a:extLst>
            <a:ext uri="{FF2B5EF4-FFF2-40B4-BE49-F238E27FC236}">
              <a16:creationId xmlns:a16="http://schemas.microsoft.com/office/drawing/2014/main" id="{612754E7-B58D-478C-8378-87A210CDDA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5381625"/>
          <a:ext cx="5410955" cy="5649113"/>
        </a:xfrm>
        <a:prstGeom prst="rect">
          <a:avLst/>
        </a:prstGeom>
        <a:ln>
          <a:solidFill>
            <a:schemeClr val="bg1">
              <a:lumMod val="75000"/>
            </a:schemeClr>
          </a:solidFill>
        </a:ln>
      </xdr:spPr>
    </xdr:pic>
    <xdr:clientData/>
  </xdr:twoCellAnchor>
  <xdr:twoCellAnchor editAs="oneCell">
    <xdr:from>
      <xdr:col>1</xdr:col>
      <xdr:colOff>9525</xdr:colOff>
      <xdr:row>27</xdr:row>
      <xdr:rowOff>57150</xdr:rowOff>
    </xdr:from>
    <xdr:to>
      <xdr:col>5</xdr:col>
      <xdr:colOff>448439</xdr:colOff>
      <xdr:row>57</xdr:row>
      <xdr:rowOff>115106</xdr:rowOff>
    </xdr:to>
    <xdr:pic>
      <xdr:nvPicPr>
        <xdr:cNvPr id="6" name="Picture 5">
          <a:extLst>
            <a:ext uri="{FF2B5EF4-FFF2-40B4-BE49-F238E27FC236}">
              <a16:creationId xmlns:a16="http://schemas.microsoft.com/office/drawing/2014/main" id="{119805F5-4E90-4653-B59B-96889FEB2A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125" y="5514975"/>
          <a:ext cx="5477639" cy="57729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laportej_msu_edu/Documents/Documents/Farm%20Management%20Files/Budgets%20&amp;%20Tools/Fertilizer%20Cost%20Comparison%20Tools/Fertilizer%20Cost%20Comparison%20Tool%20(Field%20Crops)%20v4.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portej/Documents/Field%20Corn%20(Jon)%20-%20New%20Fa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trient Management"/>
      <sheetName val="Corn K Calculations"/>
      <sheetName val="Soybean K Calculations"/>
      <sheetName val="Wheat K Calculations"/>
      <sheetName val="Fertilizer Products &amp; Pricing"/>
      <sheetName val="Manure and Nutrient Credits"/>
      <sheetName val="Fertilizer Plan (Corn)"/>
      <sheetName val="Fertilizer Plan (Soybean)"/>
      <sheetName val="Fertilizer Plan (Wheat)"/>
      <sheetName val="Simple Fertilizer Calculator"/>
      <sheetName val="Tri-State Recommendations"/>
      <sheetName val="Charts"/>
    </sheetNames>
    <sheetDataSet>
      <sheetData sheetId="0"/>
      <sheetData sheetId="1"/>
      <sheetData sheetId="2"/>
      <sheetData sheetId="3"/>
      <sheetData sheetId="4"/>
      <sheetData sheetId="5">
        <row r="4">
          <cell r="A4" t="str">
            <v>None</v>
          </cell>
          <cell r="B4"/>
          <cell r="C4"/>
          <cell r="D4"/>
          <cell r="E4"/>
          <cell r="F4"/>
          <cell r="G4"/>
          <cell r="H4"/>
          <cell r="I4"/>
          <cell r="J4"/>
          <cell r="K4"/>
          <cell r="L4"/>
          <cell r="M4">
            <v>1</v>
          </cell>
          <cell r="N4" t="str">
            <v>None</v>
          </cell>
          <cell r="O4">
            <v>0</v>
          </cell>
        </row>
        <row r="5">
          <cell r="A5" t="str">
            <v>Ammonium polyphosphate (10-34-0)</v>
          </cell>
          <cell r="B5">
            <v>1.17</v>
          </cell>
          <cell r="C5">
            <v>3.9780000000000002</v>
          </cell>
          <cell r="D5"/>
          <cell r="E5"/>
          <cell r="F5"/>
          <cell r="G5"/>
          <cell r="H5"/>
          <cell r="I5"/>
          <cell r="J5"/>
          <cell r="K5">
            <v>11.7</v>
          </cell>
          <cell r="L5" t="str">
            <v>gal</v>
          </cell>
          <cell r="M5">
            <v>2000</v>
          </cell>
          <cell r="N5" t="str">
            <v>Tons</v>
          </cell>
          <cell r="O5">
            <v>704</v>
          </cell>
        </row>
        <row r="6">
          <cell r="A6" t="str">
            <v>AMS (21-0-0-24S)</v>
          </cell>
          <cell r="B6">
            <v>0.21</v>
          </cell>
          <cell r="C6"/>
          <cell r="D6"/>
          <cell r="E6">
            <v>0.24</v>
          </cell>
          <cell r="F6"/>
          <cell r="G6"/>
          <cell r="H6"/>
          <cell r="I6"/>
          <cell r="J6"/>
          <cell r="K6">
            <v>1</v>
          </cell>
          <cell r="L6" t="str">
            <v>lbs</v>
          </cell>
          <cell r="M6">
            <v>2000</v>
          </cell>
          <cell r="N6" t="str">
            <v>Tons</v>
          </cell>
          <cell r="O6">
            <v>485</v>
          </cell>
        </row>
        <row r="7">
          <cell r="A7" t="str">
            <v>Anhydrous (82-0-0)</v>
          </cell>
          <cell r="B7">
            <v>0.82</v>
          </cell>
          <cell r="C7"/>
          <cell r="D7"/>
          <cell r="E7"/>
          <cell r="F7"/>
          <cell r="G7"/>
          <cell r="H7"/>
          <cell r="I7"/>
          <cell r="J7"/>
          <cell r="K7">
            <v>1</v>
          </cell>
          <cell r="L7" t="str">
            <v>lbs</v>
          </cell>
          <cell r="M7">
            <v>2000</v>
          </cell>
          <cell r="N7" t="str">
            <v>Tons</v>
          </cell>
          <cell r="O7">
            <v>950</v>
          </cell>
        </row>
        <row r="8">
          <cell r="A8" t="str">
            <v>DAP (18-46-0)</v>
          </cell>
          <cell r="B8">
            <v>0.18</v>
          </cell>
          <cell r="C8">
            <v>0.46</v>
          </cell>
          <cell r="D8"/>
          <cell r="E8"/>
          <cell r="F8"/>
          <cell r="G8"/>
          <cell r="H8"/>
          <cell r="I8"/>
          <cell r="J8"/>
          <cell r="K8">
            <v>1</v>
          </cell>
          <cell r="L8" t="str">
            <v>lbs</v>
          </cell>
          <cell r="M8">
            <v>2000</v>
          </cell>
          <cell r="N8" t="str">
            <v>Tons</v>
          </cell>
          <cell r="O8">
            <v>798</v>
          </cell>
        </row>
        <row r="9">
          <cell r="A9" t="str">
            <v>ESN (44-0-0)</v>
          </cell>
          <cell r="B9">
            <v>0.44</v>
          </cell>
          <cell r="C9"/>
          <cell r="D9"/>
          <cell r="E9"/>
          <cell r="F9"/>
          <cell r="G9"/>
          <cell r="H9"/>
          <cell r="I9"/>
          <cell r="J9"/>
          <cell r="K9">
            <v>1</v>
          </cell>
          <cell r="L9" t="str">
            <v>lbs</v>
          </cell>
          <cell r="M9">
            <v>2000</v>
          </cell>
          <cell r="N9" t="str">
            <v>Tons</v>
          </cell>
          <cell r="O9">
            <v>0</v>
          </cell>
        </row>
        <row r="10">
          <cell r="A10" t="str">
            <v>Gypsum (0-0-0-17S-21Ca)</v>
          </cell>
          <cell r="B10"/>
          <cell r="C10"/>
          <cell r="D10"/>
          <cell r="E10">
            <v>0.17</v>
          </cell>
          <cell r="F10"/>
          <cell r="G10">
            <v>0.21</v>
          </cell>
          <cell r="H10"/>
          <cell r="I10"/>
          <cell r="J10"/>
          <cell r="K10">
            <v>1</v>
          </cell>
          <cell r="L10" t="str">
            <v>lbs</v>
          </cell>
          <cell r="M10">
            <v>2000</v>
          </cell>
          <cell r="N10" t="str">
            <v>Tons</v>
          </cell>
          <cell r="O10">
            <v>0</v>
          </cell>
        </row>
        <row r="11">
          <cell r="A11" t="str">
            <v>K-Mag (0-0-22-11Mg-21S)</v>
          </cell>
          <cell r="B11"/>
          <cell r="C11"/>
          <cell r="D11">
            <v>0.22</v>
          </cell>
          <cell r="E11">
            <v>0.21</v>
          </cell>
          <cell r="F11">
            <v>0.11</v>
          </cell>
          <cell r="G11"/>
          <cell r="H11"/>
          <cell r="I11"/>
          <cell r="J11"/>
          <cell r="K11">
            <v>1</v>
          </cell>
          <cell r="L11" t="str">
            <v>lbs</v>
          </cell>
          <cell r="M11">
            <v>2000</v>
          </cell>
          <cell r="N11" t="str">
            <v>Gallons</v>
          </cell>
          <cell r="O11">
            <v>0</v>
          </cell>
        </row>
        <row r="12">
          <cell r="A12" t="str">
            <v>MAP (11-52-00)</v>
          </cell>
          <cell r="B12">
            <v>0.11</v>
          </cell>
          <cell r="C12">
            <v>0.52</v>
          </cell>
          <cell r="D12"/>
          <cell r="E12"/>
          <cell r="F12"/>
          <cell r="G12"/>
          <cell r="H12"/>
          <cell r="I12"/>
          <cell r="J12"/>
          <cell r="K12">
            <v>1</v>
          </cell>
          <cell r="L12" t="str">
            <v>lbs</v>
          </cell>
          <cell r="M12">
            <v>2000</v>
          </cell>
          <cell r="N12" t="str">
            <v>Tons</v>
          </cell>
          <cell r="O12">
            <v>0</v>
          </cell>
        </row>
        <row r="13">
          <cell r="A13" t="str">
            <v>MESZ (12-40-0-10S-1Z)</v>
          </cell>
          <cell r="B13">
            <v>0.12</v>
          </cell>
          <cell r="C13">
            <v>0.4</v>
          </cell>
          <cell r="D13"/>
          <cell r="E13">
            <v>0.1</v>
          </cell>
          <cell r="F13"/>
          <cell r="G13"/>
          <cell r="H13">
            <v>0.01</v>
          </cell>
          <cell r="I13"/>
          <cell r="J13"/>
          <cell r="K13">
            <v>1</v>
          </cell>
          <cell r="L13" t="str">
            <v>lbs</v>
          </cell>
          <cell r="M13">
            <v>2000</v>
          </cell>
          <cell r="N13" t="str">
            <v>Tons</v>
          </cell>
          <cell r="O13">
            <v>0</v>
          </cell>
        </row>
        <row r="14">
          <cell r="A14" t="str">
            <v>Potash (0-0-60)</v>
          </cell>
          <cell r="B14"/>
          <cell r="C14"/>
          <cell r="D14">
            <v>0.6</v>
          </cell>
          <cell r="E14"/>
          <cell r="F14"/>
          <cell r="G14"/>
          <cell r="H14"/>
          <cell r="I14"/>
          <cell r="J14"/>
          <cell r="K14">
            <v>1</v>
          </cell>
          <cell r="L14" t="str">
            <v>lbs</v>
          </cell>
          <cell r="M14">
            <v>2000</v>
          </cell>
          <cell r="N14" t="str">
            <v>Tons</v>
          </cell>
          <cell r="O14">
            <v>690</v>
          </cell>
        </row>
        <row r="15">
          <cell r="A15" t="str">
            <v>Potassium Acetate (0-0-24)</v>
          </cell>
          <cell r="B15"/>
          <cell r="C15"/>
          <cell r="D15">
            <v>0.24</v>
          </cell>
          <cell r="E15"/>
          <cell r="F15"/>
          <cell r="G15"/>
          <cell r="H15"/>
          <cell r="I15"/>
          <cell r="J15"/>
          <cell r="K15">
            <v>10.65</v>
          </cell>
          <cell r="L15" t="str">
            <v>gal</v>
          </cell>
          <cell r="M15">
            <v>2000</v>
          </cell>
          <cell r="N15" t="str">
            <v>Gallons</v>
          </cell>
          <cell r="O15">
            <v>0</v>
          </cell>
        </row>
        <row r="16">
          <cell r="A16" t="str">
            <v>Potassium Sulphate (0-0-52-18S)</v>
          </cell>
          <cell r="B16"/>
          <cell r="C16"/>
          <cell r="D16">
            <v>0.52</v>
          </cell>
          <cell r="E16">
            <v>0.18</v>
          </cell>
          <cell r="F16"/>
          <cell r="G16"/>
          <cell r="H16"/>
          <cell r="I16"/>
          <cell r="J16"/>
          <cell r="K16">
            <v>1</v>
          </cell>
          <cell r="L16" t="str">
            <v>lbs</v>
          </cell>
          <cell r="M16">
            <v>2000</v>
          </cell>
          <cell r="N16" t="str">
            <v>Tons</v>
          </cell>
          <cell r="O16">
            <v>0</v>
          </cell>
        </row>
        <row r="17">
          <cell r="A17" t="str">
            <v>SuperU (46-0-0)</v>
          </cell>
          <cell r="B17">
            <v>0.46</v>
          </cell>
          <cell r="C17"/>
          <cell r="D17"/>
          <cell r="E17"/>
          <cell r="F17"/>
          <cell r="G17"/>
          <cell r="H17"/>
          <cell r="I17"/>
          <cell r="J17"/>
          <cell r="K17">
            <v>1</v>
          </cell>
          <cell r="L17" t="str">
            <v>lbs</v>
          </cell>
          <cell r="M17">
            <v>2000</v>
          </cell>
          <cell r="N17" t="str">
            <v>Tons</v>
          </cell>
          <cell r="O17">
            <v>0</v>
          </cell>
        </row>
        <row r="18">
          <cell r="A18" t="str">
            <v>Thiosul (12-0-0-26)</v>
          </cell>
          <cell r="B18">
            <v>1.3247999999999998</v>
          </cell>
          <cell r="C18"/>
          <cell r="D18"/>
          <cell r="E18">
            <v>2.8704000000000001</v>
          </cell>
          <cell r="F18"/>
          <cell r="G18"/>
          <cell r="H18"/>
          <cell r="I18"/>
          <cell r="J18"/>
          <cell r="K18">
            <v>11.04</v>
          </cell>
          <cell r="L18" t="str">
            <v>gal</v>
          </cell>
          <cell r="M18">
            <v>2000</v>
          </cell>
          <cell r="N18" t="str">
            <v>Tons</v>
          </cell>
          <cell r="O18">
            <v>0</v>
          </cell>
        </row>
        <row r="19">
          <cell r="A19" t="str">
            <v>Triple Superphosphate (0-46-0)</v>
          </cell>
          <cell r="B19"/>
          <cell r="C19">
            <v>0.46</v>
          </cell>
          <cell r="D19"/>
          <cell r="E19"/>
          <cell r="F19"/>
          <cell r="G19"/>
          <cell r="H19"/>
          <cell r="I19"/>
          <cell r="J19"/>
          <cell r="K19">
            <v>1</v>
          </cell>
          <cell r="L19" t="str">
            <v>lbs</v>
          </cell>
          <cell r="M19">
            <v>2000</v>
          </cell>
          <cell r="N19" t="str">
            <v>Tons</v>
          </cell>
          <cell r="O19">
            <v>0</v>
          </cell>
        </row>
        <row r="20">
          <cell r="A20" t="str">
            <v>UAN 28% (28-0-0)</v>
          </cell>
          <cell r="B20">
            <v>2.9876000000000005</v>
          </cell>
          <cell r="C20"/>
          <cell r="D20"/>
          <cell r="E20"/>
          <cell r="F20"/>
          <cell r="G20"/>
          <cell r="H20"/>
          <cell r="I20"/>
          <cell r="J20"/>
          <cell r="K20">
            <v>10.67</v>
          </cell>
          <cell r="L20" t="str">
            <v>gal</v>
          </cell>
          <cell r="M20">
            <v>2000</v>
          </cell>
          <cell r="N20" t="str">
            <v>Tons</v>
          </cell>
          <cell r="O20">
            <v>399</v>
          </cell>
        </row>
        <row r="21">
          <cell r="A21" t="str">
            <v>UAN 32% (32-0-0)</v>
          </cell>
          <cell r="B21">
            <v>3.5392000000000001</v>
          </cell>
          <cell r="C21"/>
          <cell r="D21"/>
          <cell r="E21"/>
          <cell r="F21"/>
          <cell r="G21"/>
          <cell r="H21"/>
          <cell r="I21"/>
          <cell r="J21"/>
          <cell r="K21">
            <v>11.06</v>
          </cell>
          <cell r="L21" t="str">
            <v>gal</v>
          </cell>
          <cell r="M21">
            <v>2000</v>
          </cell>
          <cell r="N21" t="str">
            <v>Tons</v>
          </cell>
          <cell r="O21">
            <v>0</v>
          </cell>
        </row>
        <row r="22">
          <cell r="A22" t="str">
            <v>Urea (46-0-0)</v>
          </cell>
          <cell r="B22">
            <v>0.46</v>
          </cell>
          <cell r="C22"/>
          <cell r="D22"/>
          <cell r="E22"/>
          <cell r="F22"/>
          <cell r="G22"/>
          <cell r="H22"/>
          <cell r="I22"/>
          <cell r="J22"/>
          <cell r="K22">
            <v>1</v>
          </cell>
          <cell r="L22" t="str">
            <v>lbs</v>
          </cell>
          <cell r="M22">
            <v>2000</v>
          </cell>
          <cell r="N22" t="str">
            <v>Tons</v>
          </cell>
          <cell r="O22">
            <v>750</v>
          </cell>
        </row>
        <row r="23">
          <cell r="A23" t="str">
            <v>9-18-9 (liquid)</v>
          </cell>
          <cell r="B23">
            <v>0.98730000000000007</v>
          </cell>
          <cell r="C23">
            <v>1.9746000000000001</v>
          </cell>
          <cell r="D23">
            <v>0.98730000000000007</v>
          </cell>
          <cell r="E23"/>
          <cell r="F23"/>
          <cell r="G23"/>
          <cell r="H23"/>
          <cell r="I23"/>
          <cell r="J23"/>
          <cell r="K23">
            <v>10.97</v>
          </cell>
          <cell r="L23" t="str">
            <v>gal</v>
          </cell>
          <cell r="M23">
            <v>1</v>
          </cell>
          <cell r="N23" t="str">
            <v>Gallons</v>
          </cell>
          <cell r="O23">
            <v>0</v>
          </cell>
        </row>
        <row r="24">
          <cell r="A24" t="str">
            <v>6-24-6 (liquid)</v>
          </cell>
          <cell r="B24">
            <v>0.66539999999999999</v>
          </cell>
          <cell r="C24">
            <v>2.6616</v>
          </cell>
          <cell r="D24">
            <v>0.66539999999999999</v>
          </cell>
          <cell r="E24"/>
          <cell r="F24"/>
          <cell r="G24"/>
          <cell r="H24"/>
          <cell r="I24"/>
          <cell r="J24"/>
          <cell r="K24">
            <v>11.09</v>
          </cell>
          <cell r="L24" t="str">
            <v>gal</v>
          </cell>
          <cell r="M24">
            <v>1</v>
          </cell>
          <cell r="N24" t="str">
            <v>Gallons</v>
          </cell>
          <cell r="O24">
            <v>0</v>
          </cell>
        </row>
        <row r="25">
          <cell r="A25" t="str">
            <v>6-12-12 (dry)</v>
          </cell>
          <cell r="B25">
            <v>0.06</v>
          </cell>
          <cell r="C25">
            <v>0.12</v>
          </cell>
          <cell r="D25">
            <v>0.12</v>
          </cell>
          <cell r="E25"/>
          <cell r="F25"/>
          <cell r="G25"/>
          <cell r="H25"/>
          <cell r="I25"/>
          <cell r="J25"/>
          <cell r="K25">
            <v>1</v>
          </cell>
          <cell r="L25" t="str">
            <v>lbs</v>
          </cell>
          <cell r="M25">
            <v>2000</v>
          </cell>
          <cell r="N25" t="str">
            <v>Tons</v>
          </cell>
          <cell r="O25">
            <v>0</v>
          </cell>
        </row>
        <row r="26">
          <cell r="A26" t="str">
            <v>5-10-5 (dry)</v>
          </cell>
          <cell r="B26">
            <v>0.05</v>
          </cell>
          <cell r="C26">
            <v>0.1</v>
          </cell>
          <cell r="D26">
            <v>0.05</v>
          </cell>
          <cell r="E26"/>
          <cell r="F26"/>
          <cell r="G26"/>
          <cell r="H26"/>
          <cell r="I26"/>
          <cell r="J26"/>
          <cell r="K26">
            <v>1</v>
          </cell>
          <cell r="L26" t="str">
            <v>lbs</v>
          </cell>
          <cell r="M26">
            <v>2000</v>
          </cell>
          <cell r="N26" t="str">
            <v>Tons</v>
          </cell>
          <cell r="O26">
            <v>0</v>
          </cell>
        </row>
        <row r="27">
          <cell r="A27" t="str">
            <v>3-18-18 (liquid)</v>
          </cell>
          <cell r="B27">
            <v>0.35099999999999998</v>
          </cell>
          <cell r="C27">
            <v>2.1059999999999999</v>
          </cell>
          <cell r="D27">
            <v>2.1059999999999999</v>
          </cell>
          <cell r="E27"/>
          <cell r="F27"/>
          <cell r="G27"/>
          <cell r="H27"/>
          <cell r="I27"/>
          <cell r="J27"/>
          <cell r="K27">
            <v>11.7</v>
          </cell>
          <cell r="L27" t="str">
            <v>gal</v>
          </cell>
          <cell r="M27">
            <v>1</v>
          </cell>
          <cell r="N27" t="str">
            <v>Gallons</v>
          </cell>
          <cell r="O27">
            <v>0</v>
          </cell>
        </row>
        <row r="28">
          <cell r="A28" t="str">
            <v>19-19-19 (dry)</v>
          </cell>
          <cell r="B28">
            <v>0.19</v>
          </cell>
          <cell r="C28">
            <v>0.19</v>
          </cell>
          <cell r="D28">
            <v>0.19</v>
          </cell>
          <cell r="E28"/>
          <cell r="F28"/>
          <cell r="G28"/>
          <cell r="H28"/>
          <cell r="I28"/>
          <cell r="J28"/>
          <cell r="K28">
            <v>1</v>
          </cell>
          <cell r="L28" t="str">
            <v>lbs</v>
          </cell>
          <cell r="M28">
            <v>2000</v>
          </cell>
          <cell r="N28" t="str">
            <v>Tons</v>
          </cell>
          <cell r="O28">
            <v>0</v>
          </cell>
        </row>
        <row r="29">
          <cell r="A29" t="str">
            <v>15-15-2 (liquid)</v>
          </cell>
          <cell r="B29">
            <v>1.738</v>
          </cell>
          <cell r="C29">
            <v>1.65</v>
          </cell>
          <cell r="D29">
            <v>0.22</v>
          </cell>
          <cell r="E29"/>
          <cell r="F29"/>
          <cell r="G29"/>
          <cell r="H29"/>
          <cell r="I29"/>
          <cell r="J29"/>
          <cell r="K29">
            <v>11</v>
          </cell>
          <cell r="L29" t="str">
            <v>gal</v>
          </cell>
          <cell r="M29">
            <v>1</v>
          </cell>
          <cell r="N29" t="str">
            <v>Gallons</v>
          </cell>
          <cell r="O29">
            <v>0</v>
          </cell>
        </row>
        <row r="30">
          <cell r="A30" t="str">
            <v>15-15-15 (dry)</v>
          </cell>
          <cell r="B30">
            <v>0.15</v>
          </cell>
          <cell r="C30">
            <v>0.15</v>
          </cell>
          <cell r="D30">
            <v>0.15</v>
          </cell>
          <cell r="E30"/>
          <cell r="F30"/>
          <cell r="G30"/>
          <cell r="H30"/>
          <cell r="I30"/>
          <cell r="J30"/>
          <cell r="K30">
            <v>1</v>
          </cell>
          <cell r="L30" t="str">
            <v>lbs</v>
          </cell>
          <cell r="M30">
            <v>2000</v>
          </cell>
          <cell r="N30" t="str">
            <v>Tons</v>
          </cell>
          <cell r="O30">
            <v>0</v>
          </cell>
        </row>
        <row r="31">
          <cell r="A31" t="str">
            <v>12-24-24 (dry)</v>
          </cell>
          <cell r="B31">
            <v>0.12</v>
          </cell>
          <cell r="C31">
            <v>0.24</v>
          </cell>
          <cell r="D31">
            <v>0.24</v>
          </cell>
          <cell r="E31"/>
          <cell r="F31"/>
          <cell r="G31"/>
          <cell r="H31"/>
          <cell r="I31"/>
          <cell r="J31"/>
          <cell r="K31">
            <v>1</v>
          </cell>
          <cell r="L31" t="str">
            <v>lbs</v>
          </cell>
          <cell r="M31">
            <v>2000</v>
          </cell>
          <cell r="N31" t="str">
            <v>Tons</v>
          </cell>
          <cell r="O31">
            <v>0</v>
          </cell>
        </row>
        <row r="32">
          <cell r="A32" t="str">
            <v>10-10-10 (dry)</v>
          </cell>
          <cell r="B32">
            <v>0.1</v>
          </cell>
          <cell r="C32">
            <v>0.1</v>
          </cell>
          <cell r="D32">
            <v>0.1</v>
          </cell>
          <cell r="E32"/>
          <cell r="F32"/>
          <cell r="G32"/>
          <cell r="H32"/>
          <cell r="I32"/>
          <cell r="J32"/>
          <cell r="K32">
            <v>1</v>
          </cell>
          <cell r="L32" t="str">
            <v>lbs</v>
          </cell>
          <cell r="M32">
            <v>2000</v>
          </cell>
          <cell r="N32" t="str">
            <v>Tons</v>
          </cell>
          <cell r="O32">
            <v>0</v>
          </cell>
        </row>
        <row r="33">
          <cell r="A33" t="str">
            <v>Manure (solid)</v>
          </cell>
          <cell r="B33">
            <v>4.2</v>
          </cell>
          <cell r="C33">
            <v>7.5</v>
          </cell>
          <cell r="D33">
            <v>5.7</v>
          </cell>
          <cell r="E33">
            <v>0.8</v>
          </cell>
          <cell r="F33"/>
          <cell r="G33"/>
          <cell r="H33"/>
          <cell r="I33"/>
          <cell r="J33"/>
          <cell r="K33">
            <v>2000</v>
          </cell>
          <cell r="L33" t="str">
            <v>Tons</v>
          </cell>
          <cell r="M33">
            <v>2000</v>
          </cell>
          <cell r="N33" t="str">
            <v>Tons</v>
          </cell>
          <cell r="O33">
            <v>0</v>
          </cell>
        </row>
        <row r="34">
          <cell r="A34" t="str">
            <v>Manure (liquid)</v>
          </cell>
          <cell r="B34">
            <v>4.3</v>
          </cell>
          <cell r="C34">
            <v>1.7000000000000002</v>
          </cell>
          <cell r="D34">
            <v>3.8000000000000003</v>
          </cell>
          <cell r="E34">
            <v>1</v>
          </cell>
          <cell r="F34"/>
          <cell r="G34"/>
          <cell r="H34"/>
          <cell r="I34"/>
          <cell r="J34"/>
          <cell r="K34">
            <v>1</v>
          </cell>
          <cell r="L34" t="str">
            <v>1,000 gal</v>
          </cell>
          <cell r="M34">
            <v>1</v>
          </cell>
          <cell r="N34" t="str">
            <v>Gallons</v>
          </cell>
          <cell r="O34">
            <v>0</v>
          </cell>
        </row>
        <row r="35">
          <cell r="A35" t="str">
            <v>Compost</v>
          </cell>
          <cell r="B35">
            <v>0</v>
          </cell>
          <cell r="C35">
            <v>0</v>
          </cell>
          <cell r="D35">
            <v>0</v>
          </cell>
          <cell r="E35">
            <v>0</v>
          </cell>
          <cell r="F35">
            <v>0</v>
          </cell>
          <cell r="G35">
            <v>0</v>
          </cell>
          <cell r="H35">
            <v>0</v>
          </cell>
          <cell r="I35">
            <v>0</v>
          </cell>
          <cell r="J35">
            <v>0</v>
          </cell>
          <cell r="K35">
            <v>0</v>
          </cell>
          <cell r="L35" t="str">
            <v>Enter</v>
          </cell>
          <cell r="M35">
            <v>0</v>
          </cell>
          <cell r="N35" t="str">
            <v>Enter</v>
          </cell>
          <cell r="O35">
            <v>0</v>
          </cell>
        </row>
        <row r="36">
          <cell r="A36" t="str">
            <v>Enter</v>
          </cell>
          <cell r="B36">
            <v>0</v>
          </cell>
          <cell r="C36">
            <v>0</v>
          </cell>
          <cell r="D36">
            <v>0</v>
          </cell>
          <cell r="E36">
            <v>0</v>
          </cell>
          <cell r="F36">
            <v>0</v>
          </cell>
          <cell r="G36">
            <v>0</v>
          </cell>
          <cell r="H36">
            <v>0</v>
          </cell>
          <cell r="I36">
            <v>0</v>
          </cell>
          <cell r="J36">
            <v>0</v>
          </cell>
          <cell r="K36">
            <v>0</v>
          </cell>
          <cell r="L36" t="str">
            <v>Enter</v>
          </cell>
          <cell r="M36">
            <v>0</v>
          </cell>
          <cell r="N36" t="str">
            <v>Enter</v>
          </cell>
          <cell r="O36">
            <v>0</v>
          </cell>
        </row>
        <row r="37">
          <cell r="A37" t="str">
            <v>Enter</v>
          </cell>
          <cell r="B37">
            <v>0</v>
          </cell>
          <cell r="C37">
            <v>0</v>
          </cell>
          <cell r="D37">
            <v>0</v>
          </cell>
          <cell r="E37">
            <v>0</v>
          </cell>
          <cell r="F37">
            <v>0</v>
          </cell>
          <cell r="G37">
            <v>0</v>
          </cell>
          <cell r="H37">
            <v>0</v>
          </cell>
          <cell r="I37">
            <v>0</v>
          </cell>
          <cell r="J37">
            <v>0</v>
          </cell>
          <cell r="K37">
            <v>0</v>
          </cell>
          <cell r="L37" t="str">
            <v>Enter</v>
          </cell>
          <cell r="M37">
            <v>0</v>
          </cell>
          <cell r="N37" t="str">
            <v>Enter</v>
          </cell>
          <cell r="O37">
            <v>0</v>
          </cell>
        </row>
        <row r="38">
          <cell r="A38" t="str">
            <v>Enter</v>
          </cell>
          <cell r="B38">
            <v>0</v>
          </cell>
          <cell r="C38">
            <v>0</v>
          </cell>
          <cell r="D38">
            <v>0</v>
          </cell>
          <cell r="E38">
            <v>0</v>
          </cell>
          <cell r="F38">
            <v>0</v>
          </cell>
          <cell r="G38">
            <v>0</v>
          </cell>
          <cell r="H38">
            <v>0</v>
          </cell>
          <cell r="I38">
            <v>0</v>
          </cell>
          <cell r="J38">
            <v>0</v>
          </cell>
          <cell r="K38">
            <v>0</v>
          </cell>
          <cell r="L38" t="str">
            <v>Enter</v>
          </cell>
          <cell r="M38">
            <v>0</v>
          </cell>
          <cell r="N38" t="str">
            <v>Enter</v>
          </cell>
          <cell r="O38">
            <v>0</v>
          </cell>
        </row>
        <row r="39">
          <cell r="A39" t="str">
            <v>Enter</v>
          </cell>
          <cell r="B39">
            <v>0</v>
          </cell>
          <cell r="C39">
            <v>0</v>
          </cell>
          <cell r="D39">
            <v>0</v>
          </cell>
          <cell r="E39">
            <v>0</v>
          </cell>
          <cell r="F39">
            <v>0</v>
          </cell>
          <cell r="G39">
            <v>0</v>
          </cell>
          <cell r="H39">
            <v>0</v>
          </cell>
          <cell r="I39">
            <v>0</v>
          </cell>
          <cell r="J39">
            <v>0</v>
          </cell>
          <cell r="K39">
            <v>0</v>
          </cell>
          <cell r="L39" t="str">
            <v>Enter</v>
          </cell>
          <cell r="M39">
            <v>0</v>
          </cell>
          <cell r="N39" t="str">
            <v>Enter</v>
          </cell>
          <cell r="O39">
            <v>0</v>
          </cell>
        </row>
        <row r="43">
          <cell r="A43" t="str">
            <v>None</v>
          </cell>
          <cell r="B43"/>
          <cell r="C43"/>
          <cell r="D43"/>
          <cell r="E43"/>
          <cell r="F43"/>
          <cell r="G43"/>
          <cell r="H43"/>
          <cell r="I43"/>
          <cell r="J43"/>
          <cell r="K43"/>
          <cell r="L43"/>
          <cell r="M43">
            <v>1</v>
          </cell>
          <cell r="N43" t="str">
            <v>None</v>
          </cell>
          <cell r="O43">
            <v>0</v>
          </cell>
        </row>
        <row r="44">
          <cell r="A44" t="str">
            <v>Boron (14.3%)</v>
          </cell>
          <cell r="B44"/>
          <cell r="C44"/>
          <cell r="D44"/>
          <cell r="E44"/>
          <cell r="F44"/>
          <cell r="G44"/>
          <cell r="H44"/>
          <cell r="I44">
            <v>0.14299999999999999</v>
          </cell>
          <cell r="J44"/>
          <cell r="K44">
            <v>1</v>
          </cell>
          <cell r="L44" t="str">
            <v>lbs</v>
          </cell>
          <cell r="M44">
            <v>1</v>
          </cell>
          <cell r="N44" t="str">
            <v>Pound</v>
          </cell>
          <cell r="O44">
            <v>0</v>
          </cell>
        </row>
        <row r="45">
          <cell r="A45" t="str">
            <v>Zinc (35.5%)</v>
          </cell>
          <cell r="B45"/>
          <cell r="C45"/>
          <cell r="D45"/>
          <cell r="E45"/>
          <cell r="F45"/>
          <cell r="G45"/>
          <cell r="H45">
            <v>0.35499999999999998</v>
          </cell>
          <cell r="I45"/>
          <cell r="J45"/>
          <cell r="K45">
            <v>1</v>
          </cell>
          <cell r="L45" t="str">
            <v>lbs</v>
          </cell>
          <cell r="M45">
            <v>1</v>
          </cell>
          <cell r="N45" t="str">
            <v>Pound</v>
          </cell>
          <cell r="O45">
            <v>0</v>
          </cell>
        </row>
        <row r="46">
          <cell r="A46" t="str">
            <v>Zinc Liquid (12-0-0-12zn)</v>
          </cell>
          <cell r="B46">
            <v>0.318</v>
          </cell>
          <cell r="C46"/>
          <cell r="D46"/>
          <cell r="E46"/>
          <cell r="F46"/>
          <cell r="G46"/>
          <cell r="H46">
            <v>0.318</v>
          </cell>
          <cell r="I46"/>
          <cell r="J46"/>
          <cell r="K46">
            <v>1</v>
          </cell>
          <cell r="L46" t="str">
            <v>qts</v>
          </cell>
          <cell r="M46">
            <v>4</v>
          </cell>
          <cell r="N46" t="str">
            <v>Gallons</v>
          </cell>
          <cell r="O46">
            <v>0</v>
          </cell>
        </row>
        <row r="47">
          <cell r="A47" t="str">
            <v>Boron Liquid (0-0-0-10B)</v>
          </cell>
          <cell r="B47"/>
          <cell r="C47"/>
          <cell r="D47"/>
          <cell r="E47"/>
          <cell r="F47"/>
          <cell r="G47"/>
          <cell r="H47"/>
          <cell r="I47">
            <v>0.27799999999999997</v>
          </cell>
          <cell r="J47"/>
          <cell r="K47">
            <v>1</v>
          </cell>
          <cell r="L47" t="str">
            <v>qts</v>
          </cell>
          <cell r="M47">
            <v>4</v>
          </cell>
          <cell r="N47" t="str">
            <v>Gallons</v>
          </cell>
          <cell r="O47">
            <v>0</v>
          </cell>
        </row>
        <row r="48">
          <cell r="A48" t="str">
            <v>Manganese Sulfate</v>
          </cell>
          <cell r="B48"/>
          <cell r="C48"/>
          <cell r="D48"/>
          <cell r="E48">
            <v>0.18</v>
          </cell>
          <cell r="F48"/>
          <cell r="G48"/>
          <cell r="H48"/>
          <cell r="I48"/>
          <cell r="J48">
            <v>0.33</v>
          </cell>
          <cell r="K48">
            <v>1</v>
          </cell>
          <cell r="L48" t="str">
            <v>lbs</v>
          </cell>
          <cell r="M48">
            <v>1</v>
          </cell>
          <cell r="N48" t="str">
            <v>Pound</v>
          </cell>
          <cell r="O48">
            <v>0</v>
          </cell>
        </row>
        <row r="49">
          <cell r="A49" t="str">
            <v>Zinc Sulphate</v>
          </cell>
          <cell r="B49">
            <v>35.5</v>
          </cell>
          <cell r="C49"/>
          <cell r="D49"/>
          <cell r="E49">
            <v>0.185</v>
          </cell>
          <cell r="F49"/>
          <cell r="G49"/>
          <cell r="H49"/>
          <cell r="I49"/>
          <cell r="J49"/>
          <cell r="K49">
            <v>1</v>
          </cell>
          <cell r="L49" t="str">
            <v>lbs</v>
          </cell>
          <cell r="M49">
            <v>1</v>
          </cell>
          <cell r="N49" t="str">
            <v>Pound</v>
          </cell>
          <cell r="O49">
            <v>0</v>
          </cell>
        </row>
        <row r="50">
          <cell r="A50" t="str">
            <v>Magnesium Sulfate</v>
          </cell>
          <cell r="B50"/>
          <cell r="C50"/>
          <cell r="D50"/>
          <cell r="E50">
            <v>0.14000000000000001</v>
          </cell>
          <cell r="F50">
            <v>9.0999999999999998E-2</v>
          </cell>
          <cell r="G50"/>
          <cell r="H50"/>
          <cell r="I50"/>
          <cell r="J50"/>
          <cell r="K50">
            <v>1</v>
          </cell>
          <cell r="L50" t="str">
            <v>lbs</v>
          </cell>
          <cell r="M50">
            <v>1</v>
          </cell>
          <cell r="N50" t="str">
            <v>Pound</v>
          </cell>
          <cell r="O50">
            <v>0</v>
          </cell>
        </row>
        <row r="51">
          <cell r="A51" t="str">
            <v>Borosol 10</v>
          </cell>
          <cell r="B51"/>
          <cell r="C51"/>
          <cell r="D51"/>
          <cell r="E51"/>
          <cell r="F51"/>
          <cell r="G51"/>
          <cell r="H51"/>
          <cell r="I51">
            <v>0.1</v>
          </cell>
          <cell r="J51"/>
          <cell r="K51">
            <v>11.09</v>
          </cell>
          <cell r="L51" t="str">
            <v>gal</v>
          </cell>
          <cell r="M51">
            <v>1</v>
          </cell>
          <cell r="N51" t="str">
            <v>Gallons</v>
          </cell>
          <cell r="O51">
            <v>0</v>
          </cell>
        </row>
        <row r="52">
          <cell r="A52" t="str">
            <v>EDTA ZN (9%)</v>
          </cell>
          <cell r="B52">
            <v>0.04</v>
          </cell>
          <cell r="C52"/>
          <cell r="D52"/>
          <cell r="E52"/>
          <cell r="F52"/>
          <cell r="G52"/>
          <cell r="H52">
            <v>0.09</v>
          </cell>
          <cell r="I52"/>
          <cell r="J52"/>
          <cell r="K52">
            <v>10.9</v>
          </cell>
          <cell r="L52" t="str">
            <v>gal</v>
          </cell>
          <cell r="M52">
            <v>1</v>
          </cell>
          <cell r="N52" t="str">
            <v>Gallons</v>
          </cell>
          <cell r="O52">
            <v>0</v>
          </cell>
        </row>
        <row r="53">
          <cell r="A53" t="str">
            <v>Enter</v>
          </cell>
          <cell r="B53">
            <v>0</v>
          </cell>
          <cell r="C53">
            <v>0</v>
          </cell>
          <cell r="D53">
            <v>0</v>
          </cell>
          <cell r="E53">
            <v>0</v>
          </cell>
          <cell r="F53">
            <v>0</v>
          </cell>
          <cell r="G53">
            <v>0</v>
          </cell>
          <cell r="H53">
            <v>0</v>
          </cell>
          <cell r="I53">
            <v>0</v>
          </cell>
          <cell r="J53">
            <v>0</v>
          </cell>
          <cell r="K53">
            <v>0</v>
          </cell>
          <cell r="L53" t="str">
            <v>Enter</v>
          </cell>
          <cell r="M53">
            <v>0</v>
          </cell>
          <cell r="N53" t="str">
            <v>Enter</v>
          </cell>
          <cell r="O53">
            <v>0</v>
          </cell>
        </row>
        <row r="54">
          <cell r="A54" t="str">
            <v>Enter</v>
          </cell>
          <cell r="B54">
            <v>0</v>
          </cell>
          <cell r="C54">
            <v>0</v>
          </cell>
          <cell r="D54">
            <v>0</v>
          </cell>
          <cell r="E54">
            <v>0</v>
          </cell>
          <cell r="F54">
            <v>0</v>
          </cell>
          <cell r="G54">
            <v>0</v>
          </cell>
          <cell r="H54">
            <v>0</v>
          </cell>
          <cell r="I54">
            <v>0</v>
          </cell>
          <cell r="J54">
            <v>0</v>
          </cell>
          <cell r="K54">
            <v>0</v>
          </cell>
          <cell r="L54" t="str">
            <v>Enter</v>
          </cell>
          <cell r="M54">
            <v>0</v>
          </cell>
          <cell r="N54" t="str">
            <v>Enter</v>
          </cell>
          <cell r="O54">
            <v>0</v>
          </cell>
        </row>
        <row r="55">
          <cell r="A55" t="str">
            <v>Enter</v>
          </cell>
          <cell r="B55">
            <v>0</v>
          </cell>
          <cell r="C55">
            <v>0</v>
          </cell>
          <cell r="D55">
            <v>0</v>
          </cell>
          <cell r="E55">
            <v>0</v>
          </cell>
          <cell r="F55">
            <v>0</v>
          </cell>
          <cell r="G55">
            <v>0</v>
          </cell>
          <cell r="H55">
            <v>0</v>
          </cell>
          <cell r="I55">
            <v>0</v>
          </cell>
          <cell r="J55">
            <v>0</v>
          </cell>
          <cell r="K55">
            <v>0</v>
          </cell>
          <cell r="L55" t="str">
            <v>Enter</v>
          </cell>
          <cell r="M55">
            <v>0</v>
          </cell>
          <cell r="N55" t="str">
            <v>Enter</v>
          </cell>
          <cell r="O55">
            <v>0</v>
          </cell>
        </row>
        <row r="56">
          <cell r="A56" t="str">
            <v>Enter</v>
          </cell>
          <cell r="B56">
            <v>0</v>
          </cell>
          <cell r="C56">
            <v>0</v>
          </cell>
          <cell r="D56">
            <v>0</v>
          </cell>
          <cell r="E56">
            <v>0</v>
          </cell>
          <cell r="F56">
            <v>0</v>
          </cell>
          <cell r="G56">
            <v>0</v>
          </cell>
          <cell r="H56">
            <v>0</v>
          </cell>
          <cell r="I56">
            <v>0</v>
          </cell>
          <cell r="J56">
            <v>0</v>
          </cell>
          <cell r="K56">
            <v>0</v>
          </cell>
          <cell r="L56" t="str">
            <v>Enter</v>
          </cell>
          <cell r="M56">
            <v>0</v>
          </cell>
          <cell r="N56" t="str">
            <v>Enter</v>
          </cell>
          <cell r="O56">
            <v>0</v>
          </cell>
        </row>
        <row r="60">
          <cell r="A60" t="str">
            <v>None</v>
          </cell>
          <cell r="B60"/>
          <cell r="C60"/>
          <cell r="D60"/>
          <cell r="E60"/>
          <cell r="F60"/>
          <cell r="G60"/>
          <cell r="H60"/>
          <cell r="I60"/>
          <cell r="J60"/>
          <cell r="K60"/>
          <cell r="L60"/>
          <cell r="M60">
            <v>1</v>
          </cell>
          <cell r="N60" t="str">
            <v>None</v>
          </cell>
          <cell r="O60">
            <v>0</v>
          </cell>
        </row>
        <row r="61">
          <cell r="A61" t="str">
            <v>Pelleted Lime</v>
          </cell>
          <cell r="B61"/>
          <cell r="C61"/>
          <cell r="D61"/>
          <cell r="E61"/>
          <cell r="F61">
            <v>0.03</v>
          </cell>
          <cell r="G61">
            <v>0.22</v>
          </cell>
          <cell r="H61"/>
          <cell r="I61"/>
          <cell r="J61"/>
          <cell r="K61">
            <v>1</v>
          </cell>
          <cell r="L61" t="str">
            <v>lbs</v>
          </cell>
          <cell r="M61">
            <v>2000</v>
          </cell>
          <cell r="N61" t="str">
            <v>Ton</v>
          </cell>
          <cell r="O61">
            <v>0</v>
          </cell>
        </row>
        <row r="62">
          <cell r="A62" t="str">
            <v>Sugar Beet Lime</v>
          </cell>
          <cell r="B62">
            <v>0.55000000000000004</v>
          </cell>
          <cell r="C62">
            <v>0.01</v>
          </cell>
          <cell r="D62">
            <v>3.5999999999999999E-3</v>
          </cell>
          <cell r="E62"/>
          <cell r="F62"/>
          <cell r="G62">
            <v>29</v>
          </cell>
          <cell r="H62"/>
          <cell r="I62"/>
          <cell r="J62"/>
          <cell r="K62">
            <v>1</v>
          </cell>
          <cell r="L62" t="str">
            <v>tons</v>
          </cell>
          <cell r="M62">
            <v>1</v>
          </cell>
          <cell r="N62" t="str">
            <v>Ton</v>
          </cell>
          <cell r="O62">
            <v>0</v>
          </cell>
        </row>
        <row r="63">
          <cell r="A63" t="str">
            <v>Dolometic</v>
          </cell>
          <cell r="B63"/>
          <cell r="C63"/>
          <cell r="D63"/>
          <cell r="E63"/>
          <cell r="F63">
            <v>11</v>
          </cell>
          <cell r="G63">
            <v>42</v>
          </cell>
          <cell r="H63"/>
          <cell r="I63"/>
          <cell r="J63"/>
          <cell r="K63">
            <v>1</v>
          </cell>
          <cell r="L63" t="str">
            <v>tons</v>
          </cell>
          <cell r="M63">
            <v>1</v>
          </cell>
          <cell r="N63" t="str">
            <v>Ton</v>
          </cell>
          <cell r="O63">
            <v>0</v>
          </cell>
        </row>
        <row r="64">
          <cell r="A64" t="str">
            <v>High Calcium</v>
          </cell>
          <cell r="B64"/>
          <cell r="C64"/>
          <cell r="D64"/>
          <cell r="E64"/>
          <cell r="F64"/>
          <cell r="G64">
            <v>80</v>
          </cell>
          <cell r="H64"/>
          <cell r="I64"/>
          <cell r="J64"/>
          <cell r="K64">
            <v>1</v>
          </cell>
          <cell r="L64" t="str">
            <v>tons</v>
          </cell>
          <cell r="M64">
            <v>1</v>
          </cell>
          <cell r="N64" t="str">
            <v>Ton</v>
          </cell>
          <cell r="O64">
            <v>0</v>
          </cell>
        </row>
        <row r="65">
          <cell r="A65" t="str">
            <v>Enter</v>
          </cell>
          <cell r="B65">
            <v>0</v>
          </cell>
          <cell r="C65">
            <v>0</v>
          </cell>
          <cell r="D65">
            <v>0</v>
          </cell>
          <cell r="E65">
            <v>0</v>
          </cell>
          <cell r="F65">
            <v>0</v>
          </cell>
          <cell r="G65">
            <v>0</v>
          </cell>
          <cell r="H65">
            <v>0</v>
          </cell>
          <cell r="I65">
            <v>0</v>
          </cell>
          <cell r="J65">
            <v>0</v>
          </cell>
          <cell r="K65">
            <v>0</v>
          </cell>
          <cell r="L65" t="str">
            <v>Enter</v>
          </cell>
          <cell r="M65">
            <v>0</v>
          </cell>
          <cell r="N65" t="str">
            <v>Enter</v>
          </cell>
          <cell r="O65">
            <v>0</v>
          </cell>
        </row>
        <row r="66">
          <cell r="A66" t="str">
            <v>Enter</v>
          </cell>
          <cell r="B66">
            <v>0</v>
          </cell>
          <cell r="C66">
            <v>0</v>
          </cell>
          <cell r="D66">
            <v>0</v>
          </cell>
          <cell r="E66">
            <v>0</v>
          </cell>
          <cell r="F66">
            <v>0</v>
          </cell>
          <cell r="G66">
            <v>0</v>
          </cell>
          <cell r="H66">
            <v>0</v>
          </cell>
          <cell r="I66">
            <v>0</v>
          </cell>
          <cell r="J66">
            <v>0</v>
          </cell>
          <cell r="K66">
            <v>0</v>
          </cell>
          <cell r="L66" t="str">
            <v>Enter</v>
          </cell>
          <cell r="M66">
            <v>0</v>
          </cell>
          <cell r="N66" t="str">
            <v>Enter</v>
          </cell>
          <cell r="O66">
            <v>0</v>
          </cell>
        </row>
        <row r="67">
          <cell r="A67" t="str">
            <v>Enter</v>
          </cell>
          <cell r="B67">
            <v>0</v>
          </cell>
          <cell r="C67">
            <v>0</v>
          </cell>
          <cell r="D67">
            <v>0</v>
          </cell>
          <cell r="E67">
            <v>0</v>
          </cell>
          <cell r="F67">
            <v>0</v>
          </cell>
          <cell r="G67">
            <v>0</v>
          </cell>
          <cell r="H67">
            <v>0</v>
          </cell>
          <cell r="I67">
            <v>0</v>
          </cell>
          <cell r="J67">
            <v>0</v>
          </cell>
          <cell r="K67">
            <v>0</v>
          </cell>
          <cell r="L67" t="str">
            <v>Enter</v>
          </cell>
          <cell r="M67">
            <v>0</v>
          </cell>
          <cell r="N67" t="str">
            <v>Enter</v>
          </cell>
          <cell r="O67">
            <v>0</v>
          </cell>
        </row>
        <row r="68">
          <cell r="A68" t="str">
            <v>Enter</v>
          </cell>
          <cell r="B68">
            <v>0</v>
          </cell>
          <cell r="C68">
            <v>0</v>
          </cell>
          <cell r="D68">
            <v>0</v>
          </cell>
          <cell r="E68">
            <v>0</v>
          </cell>
          <cell r="F68">
            <v>0</v>
          </cell>
          <cell r="G68">
            <v>0</v>
          </cell>
          <cell r="H68">
            <v>0</v>
          </cell>
          <cell r="I68">
            <v>0</v>
          </cell>
          <cell r="J68">
            <v>0</v>
          </cell>
          <cell r="K68">
            <v>0</v>
          </cell>
          <cell r="L68" t="str">
            <v>Enter</v>
          </cell>
          <cell r="M68">
            <v>0</v>
          </cell>
          <cell r="N68" t="str">
            <v>Enter</v>
          </cell>
          <cell r="O68">
            <v>0</v>
          </cell>
        </row>
        <row r="72">
          <cell r="A72" t="str">
            <v>None</v>
          </cell>
          <cell r="B72"/>
          <cell r="C72"/>
          <cell r="D72"/>
          <cell r="E72"/>
          <cell r="F72"/>
          <cell r="G72"/>
          <cell r="H72"/>
          <cell r="I72"/>
          <cell r="J72"/>
          <cell r="K72"/>
          <cell r="L72"/>
          <cell r="M72">
            <v>1</v>
          </cell>
          <cell r="N72" t="str">
            <v>None</v>
          </cell>
          <cell r="O72">
            <v>0</v>
          </cell>
        </row>
        <row r="73">
          <cell r="A73" t="str">
            <v>N-Serve</v>
          </cell>
          <cell r="B73"/>
          <cell r="C73"/>
          <cell r="D73"/>
          <cell r="E73"/>
          <cell r="F73"/>
          <cell r="G73"/>
          <cell r="H73"/>
          <cell r="I73"/>
          <cell r="J73"/>
          <cell r="K73">
            <v>1</v>
          </cell>
          <cell r="L73" t="str">
            <v>ozs</v>
          </cell>
          <cell r="M73">
            <v>128</v>
          </cell>
          <cell r="N73" t="str">
            <v>Gallons</v>
          </cell>
          <cell r="O73">
            <v>0</v>
          </cell>
        </row>
        <row r="74">
          <cell r="A74" t="str">
            <v>Instinct</v>
          </cell>
          <cell r="B74"/>
          <cell r="C74"/>
          <cell r="D74"/>
          <cell r="E74"/>
          <cell r="F74"/>
          <cell r="G74"/>
          <cell r="H74"/>
          <cell r="I74"/>
          <cell r="J74"/>
          <cell r="K74">
            <v>1</v>
          </cell>
          <cell r="L74" t="str">
            <v>ozs</v>
          </cell>
          <cell r="M74">
            <v>128</v>
          </cell>
          <cell r="N74" t="str">
            <v>Gallons</v>
          </cell>
          <cell r="O74">
            <v>0</v>
          </cell>
        </row>
        <row r="75">
          <cell r="A75" t="str">
            <v>Factor</v>
          </cell>
          <cell r="B75"/>
          <cell r="C75"/>
          <cell r="D75"/>
          <cell r="E75"/>
          <cell r="F75"/>
          <cell r="G75"/>
          <cell r="H75"/>
          <cell r="I75"/>
          <cell r="J75"/>
          <cell r="K75">
            <v>1</v>
          </cell>
          <cell r="L75" t="str">
            <v>qt/ton</v>
          </cell>
          <cell r="M75">
            <v>4</v>
          </cell>
          <cell r="N75" t="str">
            <v>Gallons</v>
          </cell>
          <cell r="O75">
            <v>0</v>
          </cell>
        </row>
        <row r="76">
          <cell r="A76" t="str">
            <v>Nutrisphere</v>
          </cell>
          <cell r="B76"/>
          <cell r="C76"/>
          <cell r="D76"/>
          <cell r="E76"/>
          <cell r="F76"/>
          <cell r="G76"/>
          <cell r="H76"/>
          <cell r="I76"/>
          <cell r="J76"/>
          <cell r="K76">
            <v>1</v>
          </cell>
          <cell r="L76" t="str">
            <v>qt/ton</v>
          </cell>
          <cell r="M76">
            <v>4</v>
          </cell>
          <cell r="N76" t="str">
            <v>Gallons</v>
          </cell>
          <cell r="O76">
            <v>0</v>
          </cell>
        </row>
        <row r="77">
          <cell r="A77" t="str">
            <v>Agrotain</v>
          </cell>
          <cell r="B77"/>
          <cell r="C77"/>
          <cell r="D77"/>
          <cell r="E77"/>
          <cell r="F77"/>
          <cell r="G77"/>
          <cell r="H77"/>
          <cell r="I77"/>
          <cell r="J77"/>
          <cell r="K77">
            <v>1</v>
          </cell>
          <cell r="L77" t="str">
            <v>qt/ton</v>
          </cell>
          <cell r="M77">
            <v>4</v>
          </cell>
          <cell r="N77" t="str">
            <v>Gallons</v>
          </cell>
          <cell r="O77">
            <v>0</v>
          </cell>
        </row>
        <row r="78">
          <cell r="A78" t="str">
            <v>Enter</v>
          </cell>
          <cell r="B78"/>
          <cell r="C78"/>
          <cell r="D78"/>
          <cell r="E78"/>
          <cell r="F78"/>
          <cell r="G78"/>
          <cell r="H78"/>
          <cell r="I78"/>
          <cell r="J78"/>
          <cell r="K78">
            <v>0</v>
          </cell>
          <cell r="L78" t="str">
            <v>Enter</v>
          </cell>
          <cell r="M78">
            <v>0</v>
          </cell>
          <cell r="N78" t="str">
            <v>Enter</v>
          </cell>
          <cell r="O78">
            <v>0</v>
          </cell>
        </row>
        <row r="79">
          <cell r="A79" t="str">
            <v>Enter</v>
          </cell>
          <cell r="B79"/>
          <cell r="C79"/>
          <cell r="D79"/>
          <cell r="E79"/>
          <cell r="F79"/>
          <cell r="G79"/>
          <cell r="H79"/>
          <cell r="I79"/>
          <cell r="J79"/>
          <cell r="K79">
            <v>0</v>
          </cell>
          <cell r="L79" t="str">
            <v>Enter</v>
          </cell>
          <cell r="M79">
            <v>0</v>
          </cell>
          <cell r="N79" t="str">
            <v>Enter</v>
          </cell>
          <cell r="O79">
            <v>0</v>
          </cell>
        </row>
        <row r="80">
          <cell r="A80" t="str">
            <v>Enter</v>
          </cell>
          <cell r="B80"/>
          <cell r="C80"/>
          <cell r="D80"/>
          <cell r="E80"/>
          <cell r="F80"/>
          <cell r="G80"/>
          <cell r="H80"/>
          <cell r="I80"/>
          <cell r="J80"/>
          <cell r="K80">
            <v>0</v>
          </cell>
          <cell r="L80" t="str">
            <v>Enter</v>
          </cell>
          <cell r="M80">
            <v>0</v>
          </cell>
          <cell r="N80" t="str">
            <v>Enter</v>
          </cell>
          <cell r="O80">
            <v>0</v>
          </cell>
        </row>
        <row r="81">
          <cell r="A81" t="str">
            <v>Enter</v>
          </cell>
          <cell r="B81"/>
          <cell r="C81"/>
          <cell r="D81"/>
          <cell r="E81"/>
          <cell r="F81"/>
          <cell r="G81"/>
          <cell r="H81"/>
          <cell r="I81"/>
          <cell r="J81"/>
          <cell r="K81">
            <v>0</v>
          </cell>
          <cell r="L81" t="str">
            <v>Enter</v>
          </cell>
          <cell r="M81">
            <v>0</v>
          </cell>
          <cell r="N81" t="str">
            <v>Enter</v>
          </cell>
          <cell r="O81">
            <v>0</v>
          </cell>
        </row>
      </sheetData>
      <sheetData sheetId="6">
        <row r="27">
          <cell r="D27">
            <v>0.2</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fit Loss"/>
      <sheetName val="Operational"/>
      <sheetName val="Seed &amp; Chem"/>
      <sheetName val="Starter Fertilizer"/>
      <sheetName val="Fertilizer"/>
      <sheetName val="Plant Health"/>
      <sheetName val="Land"/>
      <sheetName val="Loans"/>
      <sheetName val="Fertilizer Master List"/>
      <sheetName val="Chemical Master List"/>
      <sheetName val="Product Pricing"/>
      <sheetName val="Chemical Rate Chart"/>
      <sheetName val="Grain Handling"/>
    </sheetNames>
    <sheetDataSet>
      <sheetData sheetId="0" refreshError="1"/>
      <sheetData sheetId="1">
        <row r="12">
          <cell r="F12">
            <v>145</v>
          </cell>
        </row>
      </sheetData>
      <sheetData sheetId="2"/>
      <sheetData sheetId="3"/>
      <sheetData sheetId="4"/>
      <sheetData sheetId="5"/>
      <sheetData sheetId="6"/>
      <sheetData sheetId="7"/>
      <sheetData sheetId="8"/>
      <sheetData sheetId="9">
        <row r="3">
          <cell r="A3" t="str">
            <v>None</v>
          </cell>
        </row>
      </sheetData>
      <sheetData sheetId="10">
        <row r="2">
          <cell r="A2" t="str">
            <v>None</v>
          </cell>
        </row>
      </sheetData>
      <sheetData sheetId="11">
        <row r="3">
          <cell r="M3">
            <v>7.5</v>
          </cell>
        </row>
      </sheetData>
      <sheetData sheetId="12" refreshError="1"/>
      <sheetData sheetId="13">
        <row r="51">
          <cell r="C51">
            <v>0.3</v>
          </cell>
        </row>
        <row r="52">
          <cell r="C52">
            <v>0.28999999999999998</v>
          </cell>
        </row>
        <row r="53">
          <cell r="C53">
            <v>0.28000000000000003</v>
          </cell>
        </row>
        <row r="54">
          <cell r="C54">
            <v>0.27</v>
          </cell>
        </row>
        <row r="55">
          <cell r="C55">
            <v>0.26</v>
          </cell>
        </row>
        <row r="56">
          <cell r="C56">
            <v>0.25</v>
          </cell>
        </row>
        <row r="57">
          <cell r="C57">
            <v>0.24</v>
          </cell>
        </row>
        <row r="58">
          <cell r="C58">
            <v>0.23</v>
          </cell>
        </row>
        <row r="59">
          <cell r="C59">
            <v>0.22</v>
          </cell>
        </row>
        <row r="60">
          <cell r="C60">
            <v>0.21</v>
          </cell>
        </row>
        <row r="61">
          <cell r="C61">
            <v>0.2</v>
          </cell>
        </row>
        <row r="62">
          <cell r="C62">
            <v>0.19</v>
          </cell>
        </row>
        <row r="63">
          <cell r="C63">
            <v>0.18</v>
          </cell>
        </row>
        <row r="64">
          <cell r="C64">
            <v>0.17</v>
          </cell>
        </row>
        <row r="65">
          <cell r="C65">
            <v>0.16</v>
          </cell>
        </row>
        <row r="66">
          <cell r="C66">
            <v>0.15</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anr.msu.edu/fertrec/uploads/E-2904-MSU-Nutrient-recomdns-field-crops.pdf" TargetMode="External"/><Relationship Id="rId1" Type="http://schemas.openxmlformats.org/officeDocument/2006/relationships/hyperlink" Target="https://soil.msu.edu/wp-content/uploads/2014/06/MSU-Nutrient-recomdns-field-crops-E-2904.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msuent.com/assets/pdf/1582SoybeanInsects10.pdf" TargetMode="External"/><Relationship Id="rId7" Type="http://schemas.openxmlformats.org/officeDocument/2006/relationships/hyperlink" Target="https://www.canr.msu.edu/resources/insect-guide-for-small-grains" TargetMode="External"/><Relationship Id="rId2" Type="http://schemas.openxmlformats.org/officeDocument/2006/relationships/hyperlink" Target="http://msuent.com/assets/pdf/1582CornInsects10.pdf" TargetMode="External"/><Relationship Id="rId1" Type="http://schemas.openxmlformats.org/officeDocument/2006/relationships/hyperlink" Target="https://www.canr.msu.edu/weeds/extension/2018+weed-control-guide" TargetMode="External"/><Relationship Id="rId6" Type="http://schemas.openxmlformats.org/officeDocument/2006/relationships/hyperlink" Target="https://www.canr.msu.edu/resources/insect-guide-for-soybeans" TargetMode="External"/><Relationship Id="rId5" Type="http://schemas.openxmlformats.org/officeDocument/2006/relationships/hyperlink" Target="https://www.canr.msu.edu/field_crops/insect-guides" TargetMode="External"/><Relationship Id="rId4" Type="http://schemas.openxmlformats.org/officeDocument/2006/relationships/hyperlink" Target="https://www.canr.msu.edu/weeds/index"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cnrc.agron.iastate.edu/" TargetMode="External"/><Relationship Id="rId7" Type="http://schemas.openxmlformats.org/officeDocument/2006/relationships/drawing" Target="../drawings/drawing3.xml"/><Relationship Id="rId2" Type="http://schemas.openxmlformats.org/officeDocument/2006/relationships/hyperlink" Target="https://www.canr.msu.edu/fertrec/" TargetMode="External"/><Relationship Id="rId1" Type="http://schemas.openxmlformats.org/officeDocument/2006/relationships/hyperlink" Target="https://www.canr.msu.edu/soilfertility/Files/Main-page/FINAL%20PRINT.pdf" TargetMode="External"/><Relationship Id="rId6" Type="http://schemas.openxmlformats.org/officeDocument/2006/relationships/printerSettings" Target="../printerSettings/printerSettings6.bin"/><Relationship Id="rId5" Type="http://schemas.openxmlformats.org/officeDocument/2006/relationships/hyperlink" Target="https://extension.umn.edu/manure-management/manure-application-methods-and-nitrogen-losses" TargetMode="External"/><Relationship Id="rId4" Type="http://schemas.openxmlformats.org/officeDocument/2006/relationships/hyperlink" Target="https://www.michigan.gov/mdard/0,4610,7-125-1599_1605---,00.html"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xtension.umn.edu/manure-management/manure-application-methods-and-nitrogen-losses" TargetMode="External"/><Relationship Id="rId1" Type="http://schemas.openxmlformats.org/officeDocument/2006/relationships/hyperlink" Target="https://www.michigan.gov/mdard/0,4610,7-125-1599_1605---,00.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hyperlink" Target="https://crop-protection-network.s3.amazonaws.com/publications/fungicide-efficacy-for-control-of-corn-diseases-filename-2020-03-18-150007.pdf" TargetMode="External"/><Relationship Id="rId2" Type="http://schemas.openxmlformats.org/officeDocument/2006/relationships/hyperlink" Target="https://www.extension.purdue.edu/extmedia/BP/BP-160-W.pdf" TargetMode="External"/><Relationship Id="rId1" Type="http://schemas.openxmlformats.org/officeDocument/2006/relationships/hyperlink" Target="https://www.canr.msu.edu/resources/insect-guide-for-field-corn" TargetMode="External"/><Relationship Id="rId4"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hyperlink" Target="https://www.canr.msu.edu/uploads/files/AABI/Soybean_Fungicide_efficacy_table_2018_final_MC.pdf" TargetMode="External"/><Relationship Id="rId1" Type="http://schemas.openxmlformats.org/officeDocument/2006/relationships/hyperlink" Target="https://www.canr.msu.edu/resources/insect-guide-for-soybeans"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55"/>
  <sheetViews>
    <sheetView tabSelected="1" zoomScale="80" zoomScaleNormal="80" workbookViewId="0">
      <selection activeCell="E37" sqref="E37:R37"/>
    </sheetView>
  </sheetViews>
  <sheetFormatPr defaultColWidth="8.88671875" defaultRowHeight="14.4"/>
  <cols>
    <col min="3" max="3" width="33.44140625" bestFit="1" customWidth="1"/>
    <col min="4" max="4" width="1.5546875" customWidth="1"/>
    <col min="18" max="18" width="32.6640625" customWidth="1"/>
  </cols>
  <sheetData>
    <row r="1" spans="1:18" ht="15" customHeight="1">
      <c r="A1" s="842" t="s">
        <v>572</v>
      </c>
      <c r="B1" s="843"/>
      <c r="C1" s="843"/>
      <c r="D1" s="843"/>
      <c r="E1" s="843"/>
      <c r="F1" s="843"/>
      <c r="G1" s="843"/>
      <c r="H1" s="843"/>
      <c r="I1" s="843"/>
      <c r="J1" s="843"/>
      <c r="K1" s="843"/>
      <c r="L1" s="843"/>
      <c r="M1" s="843"/>
      <c r="N1" s="843"/>
      <c r="O1" s="843"/>
      <c r="P1" s="843"/>
      <c r="Q1" s="843"/>
      <c r="R1" s="844"/>
    </row>
    <row r="2" spans="1:18" ht="15" customHeight="1">
      <c r="A2" s="845"/>
      <c r="B2" s="846"/>
      <c r="C2" s="846"/>
      <c r="D2" s="846"/>
      <c r="E2" s="846"/>
      <c r="F2" s="846"/>
      <c r="G2" s="846"/>
      <c r="H2" s="846"/>
      <c r="I2" s="846"/>
      <c r="J2" s="846"/>
      <c r="K2" s="846"/>
      <c r="L2" s="846"/>
      <c r="M2" s="846"/>
      <c r="N2" s="846"/>
      <c r="O2" s="846"/>
      <c r="P2" s="846"/>
      <c r="Q2" s="846"/>
      <c r="R2" s="847"/>
    </row>
    <row r="3" spans="1:18" ht="15" customHeight="1">
      <c r="A3" s="845"/>
      <c r="B3" s="846"/>
      <c r="C3" s="846"/>
      <c r="D3" s="846"/>
      <c r="E3" s="846"/>
      <c r="F3" s="846"/>
      <c r="G3" s="846"/>
      <c r="H3" s="846"/>
      <c r="I3" s="846"/>
      <c r="J3" s="846"/>
      <c r="K3" s="846"/>
      <c r="L3" s="846"/>
      <c r="M3" s="846"/>
      <c r="N3" s="846"/>
      <c r="O3" s="846"/>
      <c r="P3" s="846"/>
      <c r="Q3" s="846"/>
      <c r="R3" s="847"/>
    </row>
    <row r="4" spans="1:18" ht="15.6">
      <c r="A4" s="854" t="s">
        <v>413</v>
      </c>
      <c r="B4" s="855"/>
      <c r="C4" s="855"/>
      <c r="D4" s="855"/>
      <c r="E4" s="855"/>
      <c r="F4" s="855"/>
      <c r="G4" s="855"/>
      <c r="H4" s="855"/>
      <c r="I4" s="855"/>
      <c r="J4" s="855"/>
      <c r="K4" s="855"/>
      <c r="L4" s="855"/>
      <c r="M4" s="855"/>
      <c r="N4" s="855"/>
      <c r="O4" s="855"/>
      <c r="P4" s="855"/>
      <c r="Q4" s="855"/>
      <c r="R4" s="856"/>
    </row>
    <row r="5" spans="1:18" ht="15.6">
      <c r="A5" s="854" t="s">
        <v>412</v>
      </c>
      <c r="B5" s="855"/>
      <c r="C5" s="855"/>
      <c r="D5" s="855"/>
      <c r="E5" s="855"/>
      <c r="F5" s="855"/>
      <c r="G5" s="855"/>
      <c r="H5" s="855"/>
      <c r="I5" s="855"/>
      <c r="J5" s="855"/>
      <c r="K5" s="855"/>
      <c r="L5" s="855"/>
      <c r="M5" s="855"/>
      <c r="N5" s="855"/>
      <c r="O5" s="855"/>
      <c r="P5" s="855"/>
      <c r="Q5" s="855"/>
      <c r="R5" s="856"/>
    </row>
    <row r="6" spans="1:18" ht="15.6">
      <c r="A6" s="854" t="s">
        <v>626</v>
      </c>
      <c r="B6" s="855"/>
      <c r="C6" s="855"/>
      <c r="D6" s="855"/>
      <c r="E6" s="855"/>
      <c r="F6" s="855"/>
      <c r="G6" s="855"/>
      <c r="H6" s="855"/>
      <c r="I6" s="855"/>
      <c r="J6" s="855"/>
      <c r="K6" s="855"/>
      <c r="L6" s="855"/>
      <c r="M6" s="855"/>
      <c r="N6" s="855"/>
      <c r="O6" s="855"/>
      <c r="P6" s="855"/>
      <c r="Q6" s="855"/>
      <c r="R6" s="856"/>
    </row>
    <row r="7" spans="1:18" ht="15.6">
      <c r="A7" s="854" t="s">
        <v>513</v>
      </c>
      <c r="B7" s="855"/>
      <c r="C7" s="855"/>
      <c r="D7" s="855"/>
      <c r="E7" s="855"/>
      <c r="F7" s="855"/>
      <c r="G7" s="855"/>
      <c r="H7" s="855"/>
      <c r="I7" s="855"/>
      <c r="J7" s="855"/>
      <c r="K7" s="855"/>
      <c r="L7" s="855"/>
      <c r="M7" s="855"/>
      <c r="N7" s="855"/>
      <c r="O7" s="855"/>
      <c r="P7" s="855"/>
      <c r="Q7" s="855"/>
      <c r="R7" s="856"/>
    </row>
    <row r="8" spans="1:18" ht="15.6">
      <c r="A8" s="786"/>
      <c r="B8" s="787"/>
      <c r="C8" s="787"/>
      <c r="D8" s="787"/>
      <c r="E8" s="787"/>
      <c r="F8" s="787"/>
      <c r="G8" s="787"/>
      <c r="H8" s="787"/>
      <c r="I8" s="787"/>
      <c r="J8" s="787"/>
      <c r="K8" s="787"/>
      <c r="L8" s="787"/>
      <c r="M8" s="787"/>
      <c r="N8" s="787"/>
      <c r="O8" s="787"/>
      <c r="P8" s="787"/>
      <c r="Q8" s="787"/>
      <c r="R8" s="788"/>
    </row>
    <row r="9" spans="1:18" ht="16.5" customHeight="1" thickBot="1">
      <c r="A9" s="607"/>
      <c r="B9" s="608"/>
      <c r="C9" s="608"/>
      <c r="D9" s="608"/>
      <c r="E9" s="608"/>
      <c r="F9" s="608"/>
      <c r="G9" s="608"/>
      <c r="H9" s="608"/>
      <c r="I9" s="811" t="s">
        <v>1046</v>
      </c>
      <c r="J9" s="811"/>
      <c r="K9" s="811"/>
      <c r="L9" s="608"/>
      <c r="M9" s="608"/>
      <c r="N9" s="608"/>
      <c r="O9" s="608"/>
      <c r="P9" s="608"/>
      <c r="Q9" s="608"/>
      <c r="R9" s="609"/>
    </row>
    <row r="10" spans="1:18" ht="16.5" customHeight="1">
      <c r="A10" s="260"/>
      <c r="B10" s="261"/>
      <c r="C10" s="261"/>
      <c r="D10" s="261"/>
      <c r="E10" s="261"/>
      <c r="F10" s="261"/>
      <c r="G10" s="261"/>
      <c r="H10" s="261"/>
      <c r="I10" s="261"/>
      <c r="J10" s="261"/>
      <c r="K10" s="261"/>
      <c r="L10" s="262"/>
      <c r="M10" s="262"/>
      <c r="N10" s="262"/>
      <c r="O10" s="262"/>
      <c r="P10" s="262"/>
      <c r="Q10" s="262"/>
      <c r="R10" s="263"/>
    </row>
    <row r="11" spans="1:18" ht="20.100000000000001" customHeight="1">
      <c r="A11" s="264" t="s">
        <v>288</v>
      </c>
      <c r="B11" s="265" t="s">
        <v>289</v>
      </c>
      <c r="C11" s="265"/>
      <c r="D11" s="265"/>
      <c r="E11" s="265"/>
      <c r="F11" s="265"/>
      <c r="G11" s="265"/>
      <c r="H11" s="265"/>
      <c r="I11" s="265"/>
      <c r="J11" s="265"/>
      <c r="K11" s="265"/>
      <c r="L11" s="266"/>
      <c r="M11" s="266"/>
      <c r="N11" s="266"/>
      <c r="O11" s="266"/>
      <c r="P11" s="266"/>
      <c r="Q11" s="266"/>
      <c r="R11" s="267"/>
    </row>
    <row r="12" spans="1:18" ht="20.100000000000001" customHeight="1">
      <c r="A12" s="260"/>
      <c r="B12" s="261" t="s">
        <v>290</v>
      </c>
      <c r="C12" s="261"/>
      <c r="D12" s="261"/>
      <c r="E12" s="261"/>
      <c r="F12" s="261"/>
      <c r="G12" s="261"/>
      <c r="H12" s="261"/>
      <c r="I12" s="261"/>
      <c r="J12" s="261"/>
      <c r="K12" s="261"/>
      <c r="L12" s="262"/>
      <c r="M12" s="262"/>
      <c r="N12" s="262"/>
      <c r="O12" s="262"/>
      <c r="P12" s="262"/>
      <c r="Q12" s="262"/>
      <c r="R12" s="263"/>
    </row>
    <row r="13" spans="1:18" ht="20.100000000000001" customHeight="1">
      <c r="A13" s="260"/>
      <c r="B13" s="261"/>
      <c r="C13" s="850"/>
      <c r="D13" s="850"/>
      <c r="E13" s="850"/>
      <c r="F13" s="850"/>
      <c r="G13" s="850"/>
      <c r="H13" s="850"/>
      <c r="I13" s="850"/>
      <c r="J13" s="850"/>
      <c r="K13" s="850"/>
      <c r="L13" s="850"/>
      <c r="M13" s="850"/>
      <c r="N13" s="850"/>
      <c r="O13" s="850"/>
      <c r="P13" s="850"/>
      <c r="Q13" s="850"/>
      <c r="R13" s="851"/>
    </row>
    <row r="14" spans="1:18" ht="20.100000000000001" customHeight="1" thickBot="1">
      <c r="A14" s="260"/>
      <c r="B14" s="261"/>
      <c r="C14" s="824" t="s">
        <v>477</v>
      </c>
      <c r="D14" s="824"/>
      <c r="E14" s="824"/>
      <c r="F14" s="824"/>
      <c r="G14" s="824"/>
      <c r="H14" s="824"/>
      <c r="I14" s="824"/>
      <c r="J14" s="824"/>
      <c r="K14" s="824"/>
      <c r="L14" s="824"/>
      <c r="M14" s="824"/>
      <c r="N14" s="824"/>
      <c r="O14" s="824"/>
      <c r="P14" s="824"/>
      <c r="Q14" s="824"/>
      <c r="R14" s="825"/>
    </row>
    <row r="15" spans="1:18" ht="20.100000000000001" customHeight="1">
      <c r="A15" s="260"/>
      <c r="B15" s="261"/>
      <c r="C15" s="253" t="s">
        <v>520</v>
      </c>
      <c r="D15" s="254" t="s">
        <v>499</v>
      </c>
      <c r="E15" s="830" t="s">
        <v>521</v>
      </c>
      <c r="F15" s="830"/>
      <c r="G15" s="830"/>
      <c r="H15" s="830"/>
      <c r="I15" s="830"/>
      <c r="J15" s="830"/>
      <c r="K15" s="830"/>
      <c r="L15" s="830"/>
      <c r="M15" s="830"/>
      <c r="N15" s="830"/>
      <c r="O15" s="830"/>
      <c r="P15" s="830"/>
      <c r="Q15" s="830"/>
      <c r="R15" s="831"/>
    </row>
    <row r="16" spans="1:18" ht="20.100000000000001" customHeight="1" thickBot="1">
      <c r="A16" s="260"/>
      <c r="B16" s="261"/>
      <c r="C16" s="251"/>
      <c r="D16" s="252"/>
      <c r="E16" s="836" t="s">
        <v>475</v>
      </c>
      <c r="F16" s="836"/>
      <c r="G16" s="836"/>
      <c r="H16" s="836"/>
      <c r="I16" s="836"/>
      <c r="J16" s="836"/>
      <c r="K16" s="836"/>
      <c r="L16" s="836"/>
      <c r="M16" s="836"/>
      <c r="N16" s="836"/>
      <c r="O16" s="836"/>
      <c r="P16" s="836"/>
      <c r="Q16" s="836"/>
      <c r="R16" s="837"/>
    </row>
    <row r="17" spans="1:18" ht="20.100000000000001" customHeight="1">
      <c r="A17" s="260"/>
      <c r="B17" s="261"/>
      <c r="C17" s="852" t="s">
        <v>617</v>
      </c>
      <c r="D17" s="249" t="s">
        <v>499</v>
      </c>
      <c r="E17" s="832" t="s">
        <v>662</v>
      </c>
      <c r="F17" s="832"/>
      <c r="G17" s="832"/>
      <c r="H17" s="832"/>
      <c r="I17" s="832"/>
      <c r="J17" s="832"/>
      <c r="K17" s="832"/>
      <c r="L17" s="832"/>
      <c r="M17" s="832"/>
      <c r="N17" s="832"/>
      <c r="O17" s="832"/>
      <c r="P17" s="832"/>
      <c r="Q17" s="832"/>
      <c r="R17" s="833"/>
    </row>
    <row r="18" spans="1:18" ht="20.100000000000001" customHeight="1">
      <c r="A18" s="260"/>
      <c r="B18" s="261"/>
      <c r="C18" s="853"/>
      <c r="D18" s="250"/>
      <c r="E18" s="826" t="s">
        <v>663</v>
      </c>
      <c r="F18" s="826"/>
      <c r="G18" s="826"/>
      <c r="H18" s="826"/>
      <c r="I18" s="826"/>
      <c r="J18" s="826"/>
      <c r="K18" s="826"/>
      <c r="L18" s="826"/>
      <c r="M18" s="826"/>
      <c r="N18" s="826"/>
      <c r="O18" s="826"/>
      <c r="P18" s="826"/>
      <c r="Q18" s="826"/>
      <c r="R18" s="827"/>
    </row>
    <row r="19" spans="1:18" ht="20.100000000000001" customHeight="1">
      <c r="A19" s="260"/>
      <c r="B19" s="261"/>
      <c r="C19" s="853"/>
      <c r="D19" s="250" t="s">
        <v>499</v>
      </c>
      <c r="E19" s="832" t="s">
        <v>664</v>
      </c>
      <c r="F19" s="832"/>
      <c r="G19" s="832"/>
      <c r="H19" s="832"/>
      <c r="I19" s="832"/>
      <c r="J19" s="832"/>
      <c r="K19" s="832"/>
      <c r="L19" s="832"/>
      <c r="M19" s="832"/>
      <c r="N19" s="832"/>
      <c r="O19" s="832"/>
      <c r="P19" s="832"/>
      <c r="Q19" s="832"/>
      <c r="R19" s="833"/>
    </row>
    <row r="20" spans="1:18" ht="20.100000000000001" customHeight="1">
      <c r="A20" s="260"/>
      <c r="B20" s="261"/>
      <c r="C20" s="853"/>
      <c r="D20" s="250" t="s">
        <v>499</v>
      </c>
      <c r="E20" s="832" t="s">
        <v>665</v>
      </c>
      <c r="F20" s="832"/>
      <c r="G20" s="832"/>
      <c r="H20" s="832"/>
      <c r="I20" s="832"/>
      <c r="J20" s="832"/>
      <c r="K20" s="832"/>
      <c r="L20" s="832"/>
      <c r="M20" s="832"/>
      <c r="N20" s="832"/>
      <c r="O20" s="832"/>
      <c r="P20" s="832"/>
      <c r="Q20" s="832"/>
      <c r="R20" s="833"/>
    </row>
    <row r="21" spans="1:18" ht="20.100000000000001" customHeight="1">
      <c r="A21" s="260"/>
      <c r="B21" s="261"/>
      <c r="C21" s="853"/>
      <c r="D21" s="250"/>
      <c r="E21" s="826" t="s">
        <v>666</v>
      </c>
      <c r="F21" s="826"/>
      <c r="G21" s="826"/>
      <c r="H21" s="826"/>
      <c r="I21" s="826"/>
      <c r="J21" s="826"/>
      <c r="K21" s="826"/>
      <c r="L21" s="826"/>
      <c r="M21" s="826"/>
      <c r="N21" s="826"/>
      <c r="O21" s="826"/>
      <c r="P21" s="826"/>
      <c r="Q21" s="826"/>
      <c r="R21" s="827"/>
    </row>
    <row r="22" spans="1:18" ht="20.100000000000001" customHeight="1" thickBot="1">
      <c r="A22" s="260"/>
      <c r="B22" s="261"/>
      <c r="C22" s="853"/>
      <c r="D22" s="250"/>
      <c r="E22" s="826" t="s">
        <v>427</v>
      </c>
      <c r="F22" s="826"/>
      <c r="G22" s="826"/>
      <c r="H22" s="826"/>
      <c r="I22" s="826"/>
      <c r="J22" s="826"/>
      <c r="K22" s="826"/>
      <c r="L22" s="826"/>
      <c r="M22" s="826"/>
      <c r="N22" s="826"/>
      <c r="O22" s="826"/>
      <c r="P22" s="826"/>
      <c r="Q22" s="826"/>
      <c r="R22" s="827"/>
    </row>
    <row r="23" spans="1:18" ht="20.100000000000001" customHeight="1">
      <c r="A23" s="260"/>
      <c r="B23" s="261"/>
      <c r="C23" s="802" t="s">
        <v>522</v>
      </c>
      <c r="D23" s="255" t="s">
        <v>499</v>
      </c>
      <c r="E23" s="830" t="s">
        <v>496</v>
      </c>
      <c r="F23" s="830"/>
      <c r="G23" s="830"/>
      <c r="H23" s="830"/>
      <c r="I23" s="830"/>
      <c r="J23" s="830"/>
      <c r="K23" s="830"/>
      <c r="L23" s="830"/>
      <c r="M23" s="830"/>
      <c r="N23" s="830"/>
      <c r="O23" s="830"/>
      <c r="P23" s="830"/>
      <c r="Q23" s="830"/>
      <c r="R23" s="831"/>
    </row>
    <row r="24" spans="1:18" ht="20.100000000000001" customHeight="1">
      <c r="A24" s="260"/>
      <c r="B24" s="261"/>
      <c r="C24" s="806" t="s">
        <v>1047</v>
      </c>
      <c r="D24" s="256"/>
      <c r="E24" s="848" t="s">
        <v>497</v>
      </c>
      <c r="F24" s="848"/>
      <c r="G24" s="848"/>
      <c r="H24" s="848"/>
      <c r="I24" s="848"/>
      <c r="J24" s="848"/>
      <c r="K24" s="848"/>
      <c r="L24" s="848"/>
      <c r="M24" s="848"/>
      <c r="N24" s="848"/>
      <c r="O24" s="848"/>
      <c r="P24" s="848"/>
      <c r="Q24" s="848"/>
      <c r="R24" s="849"/>
    </row>
    <row r="25" spans="1:18" ht="20.100000000000001" customHeight="1">
      <c r="A25" s="260"/>
      <c r="B25" s="261"/>
      <c r="C25" s="804"/>
      <c r="D25" s="256"/>
      <c r="E25" s="848" t="s">
        <v>498</v>
      </c>
      <c r="F25" s="848"/>
      <c r="G25" s="848"/>
      <c r="H25" s="848"/>
      <c r="I25" s="848"/>
      <c r="J25" s="848"/>
      <c r="K25" s="848"/>
      <c r="L25" s="848"/>
      <c r="M25" s="848"/>
      <c r="N25" s="848"/>
      <c r="O25" s="848"/>
      <c r="P25" s="848"/>
      <c r="Q25" s="848"/>
      <c r="R25" s="849"/>
    </row>
    <row r="26" spans="1:18" ht="20.100000000000001" customHeight="1" thickBot="1">
      <c r="A26" s="260"/>
      <c r="B26" s="261"/>
      <c r="C26" s="805"/>
      <c r="D26" s="257"/>
      <c r="E26" s="836" t="s">
        <v>476</v>
      </c>
      <c r="F26" s="836"/>
      <c r="G26" s="836"/>
      <c r="H26" s="836"/>
      <c r="I26" s="836"/>
      <c r="J26" s="836"/>
      <c r="K26" s="836"/>
      <c r="L26" s="836"/>
      <c r="M26" s="836"/>
      <c r="N26" s="836"/>
      <c r="O26" s="836"/>
      <c r="P26" s="836"/>
      <c r="Q26" s="836"/>
      <c r="R26" s="837"/>
    </row>
    <row r="27" spans="1:18" ht="20.100000000000001" customHeight="1">
      <c r="A27" s="260"/>
      <c r="B27" s="261"/>
      <c r="C27" s="253" t="s">
        <v>261</v>
      </c>
      <c r="D27" s="254" t="s">
        <v>499</v>
      </c>
      <c r="E27" s="830" t="s">
        <v>406</v>
      </c>
      <c r="F27" s="830"/>
      <c r="G27" s="830"/>
      <c r="H27" s="830"/>
      <c r="I27" s="830"/>
      <c r="J27" s="830"/>
      <c r="K27" s="830"/>
      <c r="L27" s="830"/>
      <c r="M27" s="830"/>
      <c r="N27" s="830"/>
      <c r="O27" s="830"/>
      <c r="P27" s="830"/>
      <c r="Q27" s="830"/>
      <c r="R27" s="831"/>
    </row>
    <row r="28" spans="1:18" ht="20.100000000000001" customHeight="1" thickBot="1">
      <c r="A28" s="260"/>
      <c r="B28" s="261"/>
      <c r="C28" s="251"/>
      <c r="D28" s="252"/>
      <c r="E28" s="836" t="s">
        <v>502</v>
      </c>
      <c r="F28" s="836"/>
      <c r="G28" s="836"/>
      <c r="H28" s="836"/>
      <c r="I28" s="836"/>
      <c r="J28" s="836"/>
      <c r="K28" s="836"/>
      <c r="L28" s="836"/>
      <c r="M28" s="836"/>
      <c r="N28" s="836"/>
      <c r="O28" s="836"/>
      <c r="P28" s="836"/>
      <c r="Q28" s="836"/>
      <c r="R28" s="837"/>
    </row>
    <row r="29" spans="1:18" ht="19.95" customHeight="1">
      <c r="A29" s="260"/>
      <c r="B29" s="261"/>
      <c r="C29" s="253" t="s">
        <v>643</v>
      </c>
      <c r="D29" s="254" t="s">
        <v>499</v>
      </c>
      <c r="E29" s="838" t="s">
        <v>701</v>
      </c>
      <c r="F29" s="838"/>
      <c r="G29" s="838"/>
      <c r="H29" s="838"/>
      <c r="I29" s="838"/>
      <c r="J29" s="838"/>
      <c r="K29" s="838"/>
      <c r="L29" s="838"/>
      <c r="M29" s="838"/>
      <c r="N29" s="838"/>
      <c r="O29" s="838"/>
      <c r="P29" s="838"/>
      <c r="Q29" s="838"/>
      <c r="R29" s="839"/>
    </row>
    <row r="30" spans="1:18" ht="12.6" customHeight="1">
      <c r="A30" s="260"/>
      <c r="B30" s="261"/>
      <c r="C30" s="576"/>
      <c r="D30" s="268"/>
      <c r="E30" s="840"/>
      <c r="F30" s="840"/>
      <c r="G30" s="840"/>
      <c r="H30" s="840"/>
      <c r="I30" s="840"/>
      <c r="J30" s="840"/>
      <c r="K30" s="840"/>
      <c r="L30" s="840"/>
      <c r="M30" s="840"/>
      <c r="N30" s="840"/>
      <c r="O30" s="840"/>
      <c r="P30" s="840"/>
      <c r="Q30" s="840"/>
      <c r="R30" s="841"/>
    </row>
    <row r="31" spans="1:18" ht="19.95" customHeight="1" thickBot="1">
      <c r="A31" s="260"/>
      <c r="B31" s="261"/>
      <c r="C31" s="251"/>
      <c r="D31" s="252"/>
      <c r="E31" s="809" t="s">
        <v>646</v>
      </c>
      <c r="F31" s="809"/>
      <c r="G31" s="809"/>
      <c r="H31" s="809"/>
      <c r="I31" s="809"/>
      <c r="J31" s="809"/>
      <c r="K31" s="809"/>
      <c r="L31" s="809"/>
      <c r="M31" s="809"/>
      <c r="N31" s="809"/>
      <c r="O31" s="809"/>
      <c r="P31" s="809"/>
      <c r="Q31" s="809"/>
      <c r="R31" s="810"/>
    </row>
    <row r="32" spans="1:18" ht="20.100000000000001" customHeight="1" thickBot="1">
      <c r="A32" s="260"/>
      <c r="B32" s="261"/>
      <c r="C32" s="258" t="s">
        <v>751</v>
      </c>
      <c r="D32" s="259" t="s">
        <v>499</v>
      </c>
      <c r="E32" s="828" t="s">
        <v>752</v>
      </c>
      <c r="F32" s="828"/>
      <c r="G32" s="828"/>
      <c r="H32" s="828"/>
      <c r="I32" s="828"/>
      <c r="J32" s="828"/>
      <c r="K32" s="828"/>
      <c r="L32" s="828"/>
      <c r="M32" s="828"/>
      <c r="N32" s="828"/>
      <c r="O32" s="828"/>
      <c r="P32" s="828"/>
      <c r="Q32" s="828"/>
      <c r="R32" s="829"/>
    </row>
    <row r="33" spans="1:18" ht="20.100000000000001" hidden="1" customHeight="1">
      <c r="A33" s="260"/>
      <c r="B33" s="261"/>
      <c r="C33" s="268"/>
      <c r="D33" s="268"/>
      <c r="E33" s="832" t="s">
        <v>298</v>
      </c>
      <c r="F33" s="832"/>
      <c r="G33" s="832"/>
      <c r="H33" s="832"/>
      <c r="I33" s="832"/>
      <c r="J33" s="832"/>
      <c r="K33" s="832"/>
      <c r="L33" s="832"/>
      <c r="M33" s="832"/>
      <c r="N33" s="832"/>
      <c r="O33" s="832"/>
      <c r="P33" s="832"/>
      <c r="Q33" s="832"/>
      <c r="R33" s="833"/>
    </row>
    <row r="34" spans="1:18" ht="15.6">
      <c r="A34" s="269"/>
      <c r="B34" s="262"/>
      <c r="C34" s="253" t="s">
        <v>523</v>
      </c>
      <c r="D34" s="254" t="s">
        <v>499</v>
      </c>
      <c r="E34" s="807" t="s">
        <v>292</v>
      </c>
      <c r="F34" s="807"/>
      <c r="G34" s="807"/>
      <c r="H34" s="807"/>
      <c r="I34" s="807"/>
      <c r="J34" s="807"/>
      <c r="K34" s="807"/>
      <c r="L34" s="807"/>
      <c r="M34" s="807"/>
      <c r="N34" s="807"/>
      <c r="O34" s="807"/>
      <c r="P34" s="807"/>
      <c r="Q34" s="807"/>
      <c r="R34" s="808"/>
    </row>
    <row r="35" spans="1:18" ht="20.100000000000001" customHeight="1" thickBot="1">
      <c r="A35" s="269"/>
      <c r="B35" s="262"/>
      <c r="C35" s="251"/>
      <c r="D35" s="252"/>
      <c r="E35" s="836" t="s">
        <v>474</v>
      </c>
      <c r="F35" s="836"/>
      <c r="G35" s="836"/>
      <c r="H35" s="836"/>
      <c r="I35" s="836"/>
      <c r="J35" s="836"/>
      <c r="K35" s="836"/>
      <c r="L35" s="836"/>
      <c r="M35" s="836"/>
      <c r="N35" s="836"/>
      <c r="O35" s="836"/>
      <c r="P35" s="836"/>
      <c r="Q35" s="836"/>
      <c r="R35" s="837"/>
    </row>
    <row r="36" spans="1:18" ht="20.100000000000001" customHeight="1" thickBot="1">
      <c r="A36" s="260"/>
      <c r="B36" s="261"/>
      <c r="C36" s="258" t="s">
        <v>524</v>
      </c>
      <c r="D36" s="259" t="s">
        <v>499</v>
      </c>
      <c r="E36" s="828" t="s">
        <v>299</v>
      </c>
      <c r="F36" s="828"/>
      <c r="G36" s="828"/>
      <c r="H36" s="828"/>
      <c r="I36" s="828"/>
      <c r="J36" s="828"/>
      <c r="K36" s="828"/>
      <c r="L36" s="828"/>
      <c r="M36" s="828"/>
      <c r="N36" s="828"/>
      <c r="O36" s="828"/>
      <c r="P36" s="828"/>
      <c r="Q36" s="828"/>
      <c r="R36" s="829"/>
    </row>
    <row r="37" spans="1:18" ht="20.100000000000001" customHeight="1">
      <c r="A37" s="260"/>
      <c r="B37" s="261"/>
      <c r="C37" s="253" t="s">
        <v>647</v>
      </c>
      <c r="D37" s="254" t="s">
        <v>499</v>
      </c>
      <c r="E37" s="830" t="s">
        <v>554</v>
      </c>
      <c r="F37" s="830"/>
      <c r="G37" s="830"/>
      <c r="H37" s="830"/>
      <c r="I37" s="830"/>
      <c r="J37" s="830"/>
      <c r="K37" s="830"/>
      <c r="L37" s="830"/>
      <c r="M37" s="830"/>
      <c r="N37" s="830"/>
      <c r="O37" s="830"/>
      <c r="P37" s="830"/>
      <c r="Q37" s="830"/>
      <c r="R37" s="831"/>
    </row>
    <row r="38" spans="1:18" ht="19.95" customHeight="1" thickBot="1">
      <c r="A38" s="269"/>
      <c r="B38" s="262"/>
      <c r="C38" s="251"/>
      <c r="D38" s="252"/>
      <c r="E38" s="834" t="s">
        <v>553</v>
      </c>
      <c r="F38" s="834"/>
      <c r="G38" s="834"/>
      <c r="H38" s="834"/>
      <c r="I38" s="834"/>
      <c r="J38" s="834"/>
      <c r="K38" s="834"/>
      <c r="L38" s="834"/>
      <c r="M38" s="834"/>
      <c r="N38" s="834"/>
      <c r="O38" s="834"/>
      <c r="P38" s="834"/>
      <c r="Q38" s="834"/>
      <c r="R38" s="835"/>
    </row>
    <row r="39" spans="1:18" ht="19.95" customHeight="1" thickBot="1">
      <c r="A39" s="269"/>
      <c r="B39" s="262"/>
      <c r="C39" s="258" t="s">
        <v>1005</v>
      </c>
      <c r="D39" s="259" t="s">
        <v>499</v>
      </c>
      <c r="E39" s="828" t="s">
        <v>1013</v>
      </c>
      <c r="F39" s="828"/>
      <c r="G39" s="828"/>
      <c r="H39" s="828"/>
      <c r="I39" s="828"/>
      <c r="J39" s="828"/>
      <c r="K39" s="828"/>
      <c r="L39" s="828"/>
      <c r="M39" s="828"/>
      <c r="N39" s="828"/>
      <c r="O39" s="828"/>
      <c r="P39" s="828"/>
      <c r="Q39" s="828"/>
      <c r="R39" s="829"/>
    </row>
    <row r="40" spans="1:18" ht="20.100000000000001" customHeight="1">
      <c r="A40" s="260"/>
      <c r="B40" s="261"/>
      <c r="C40" s="253" t="s">
        <v>754</v>
      </c>
      <c r="D40" s="254" t="s">
        <v>499</v>
      </c>
      <c r="E40" s="807" t="s">
        <v>753</v>
      </c>
      <c r="F40" s="807"/>
      <c r="G40" s="807"/>
      <c r="H40" s="807"/>
      <c r="I40" s="807"/>
      <c r="J40" s="807"/>
      <c r="K40" s="807"/>
      <c r="L40" s="807"/>
      <c r="M40" s="807"/>
      <c r="N40" s="807"/>
      <c r="O40" s="807"/>
      <c r="P40" s="807"/>
      <c r="Q40" s="807"/>
      <c r="R40" s="808"/>
    </row>
    <row r="41" spans="1:18" ht="20.100000000000001" customHeight="1" thickBot="1">
      <c r="A41" s="260"/>
      <c r="B41" s="261"/>
      <c r="C41" s="806" t="s">
        <v>1047</v>
      </c>
      <c r="D41" s="368"/>
      <c r="E41" s="809"/>
      <c r="F41" s="809"/>
      <c r="G41" s="809"/>
      <c r="H41" s="809"/>
      <c r="I41" s="809"/>
      <c r="J41" s="809"/>
      <c r="K41" s="809"/>
      <c r="L41" s="809"/>
      <c r="M41" s="809"/>
      <c r="N41" s="809"/>
      <c r="O41" s="809"/>
      <c r="P41" s="809"/>
      <c r="Q41" s="809"/>
      <c r="R41" s="810"/>
    </row>
    <row r="42" spans="1:18" ht="20.100000000000001" customHeight="1">
      <c r="A42" s="260"/>
      <c r="B42" s="261"/>
      <c r="C42" s="253" t="s">
        <v>608</v>
      </c>
      <c r="D42" s="254" t="s">
        <v>499</v>
      </c>
      <c r="E42" s="807" t="s">
        <v>624</v>
      </c>
      <c r="F42" s="807"/>
      <c r="G42" s="807"/>
      <c r="H42" s="807"/>
      <c r="I42" s="807"/>
      <c r="J42" s="807"/>
      <c r="K42" s="807"/>
      <c r="L42" s="807"/>
      <c r="M42" s="807"/>
      <c r="N42" s="807"/>
      <c r="O42" s="807"/>
      <c r="P42" s="807"/>
      <c r="Q42" s="807"/>
      <c r="R42" s="808"/>
    </row>
    <row r="43" spans="1:18" ht="20.100000000000001" customHeight="1" thickBot="1">
      <c r="A43" s="260"/>
      <c r="B43" s="261"/>
      <c r="C43" s="367"/>
      <c r="D43" s="368"/>
      <c r="E43" s="809"/>
      <c r="F43" s="809"/>
      <c r="G43" s="809"/>
      <c r="H43" s="809"/>
      <c r="I43" s="809"/>
      <c r="J43" s="809"/>
      <c r="K43" s="809"/>
      <c r="L43" s="809"/>
      <c r="M43" s="809"/>
      <c r="N43" s="809"/>
      <c r="O43" s="809"/>
      <c r="P43" s="809"/>
      <c r="Q43" s="809"/>
      <c r="R43" s="810"/>
    </row>
    <row r="44" spans="1:18" ht="20.100000000000001" customHeight="1">
      <c r="A44" s="260"/>
      <c r="B44" s="261"/>
      <c r="C44" s="253" t="s">
        <v>1043</v>
      </c>
      <c r="D44" s="254" t="s">
        <v>499</v>
      </c>
      <c r="E44" s="807" t="s">
        <v>1044</v>
      </c>
      <c r="F44" s="807"/>
      <c r="G44" s="807"/>
      <c r="H44" s="807"/>
      <c r="I44" s="807"/>
      <c r="J44" s="807"/>
      <c r="K44" s="807"/>
      <c r="L44" s="807"/>
      <c r="M44" s="807"/>
      <c r="N44" s="807"/>
      <c r="O44" s="807"/>
      <c r="P44" s="807"/>
      <c r="Q44" s="807"/>
      <c r="R44" s="808"/>
    </row>
    <row r="45" spans="1:18" ht="20.100000000000001" customHeight="1" thickBot="1">
      <c r="A45" s="260"/>
      <c r="B45" s="261"/>
      <c r="C45" s="803" t="s">
        <v>1045</v>
      </c>
      <c r="D45" s="368"/>
      <c r="E45" s="809"/>
      <c r="F45" s="809"/>
      <c r="G45" s="809"/>
      <c r="H45" s="809"/>
      <c r="I45" s="809"/>
      <c r="J45" s="809"/>
      <c r="K45" s="809"/>
      <c r="L45" s="809"/>
      <c r="M45" s="809"/>
      <c r="N45" s="809"/>
      <c r="O45" s="809"/>
      <c r="P45" s="809"/>
      <c r="Q45" s="809"/>
      <c r="R45" s="810"/>
    </row>
    <row r="46" spans="1:18" ht="20.100000000000001" customHeight="1">
      <c r="A46" s="260"/>
      <c r="B46" s="261"/>
      <c r="C46" s="812" t="s">
        <v>850</v>
      </c>
      <c r="D46" s="744"/>
      <c r="E46" s="814" t="s">
        <v>851</v>
      </c>
      <c r="F46" s="807"/>
      <c r="G46" s="807"/>
      <c r="H46" s="807"/>
      <c r="I46" s="807"/>
      <c r="J46" s="807"/>
      <c r="K46" s="807"/>
      <c r="L46" s="807"/>
      <c r="M46" s="807"/>
      <c r="N46" s="807"/>
      <c r="O46" s="807"/>
      <c r="P46" s="807"/>
      <c r="Q46" s="807"/>
      <c r="R46" s="808"/>
    </row>
    <row r="47" spans="1:18" ht="20.100000000000001" customHeight="1">
      <c r="A47" s="260"/>
      <c r="B47" s="261"/>
      <c r="C47" s="813"/>
      <c r="D47" s="745"/>
      <c r="E47" s="815" t="s">
        <v>852</v>
      </c>
      <c r="F47" s="816"/>
      <c r="G47" s="816"/>
      <c r="H47" s="816"/>
      <c r="I47" s="816"/>
      <c r="J47" s="816"/>
      <c r="K47" s="816"/>
      <c r="L47" s="816"/>
      <c r="M47" s="816"/>
      <c r="N47" s="816"/>
      <c r="O47" s="816"/>
      <c r="P47" s="816"/>
      <c r="Q47" s="816"/>
      <c r="R47" s="817"/>
    </row>
    <row r="48" spans="1:18" ht="20.100000000000001" customHeight="1" thickBot="1">
      <c r="A48" s="260"/>
      <c r="B48" s="261"/>
      <c r="C48" s="813"/>
      <c r="D48" s="745"/>
      <c r="E48" s="818"/>
      <c r="F48" s="819"/>
      <c r="G48" s="819"/>
      <c r="H48" s="819"/>
      <c r="I48" s="819"/>
      <c r="J48" s="819"/>
      <c r="K48" s="819"/>
      <c r="L48" s="819"/>
      <c r="M48" s="819"/>
      <c r="N48" s="819"/>
      <c r="O48" s="819"/>
      <c r="P48" s="819"/>
      <c r="Q48" s="819"/>
      <c r="R48" s="820"/>
    </row>
    <row r="49" spans="1:18" ht="20.100000000000001" customHeight="1">
      <c r="A49" s="260"/>
      <c r="B49" s="261"/>
      <c r="C49" s="813"/>
      <c r="D49" s="745"/>
      <c r="E49" s="821" t="s">
        <v>853</v>
      </c>
      <c r="F49" s="822"/>
      <c r="G49" s="822"/>
      <c r="H49" s="822"/>
      <c r="I49" s="822"/>
      <c r="J49" s="822"/>
      <c r="K49" s="822"/>
      <c r="L49" s="822"/>
      <c r="M49" s="822"/>
      <c r="N49" s="822"/>
      <c r="O49" s="822"/>
      <c r="P49" s="822"/>
      <c r="Q49" s="822"/>
      <c r="R49" s="823"/>
    </row>
    <row r="50" spans="1:18" ht="15.6" customHeight="1">
      <c r="A50" s="260"/>
      <c r="B50" s="261"/>
      <c r="C50" s="813"/>
      <c r="D50" s="745"/>
      <c r="E50" s="815" t="s">
        <v>854</v>
      </c>
      <c r="F50" s="816"/>
      <c r="G50" s="816"/>
      <c r="H50" s="816"/>
      <c r="I50" s="816"/>
      <c r="J50" s="816"/>
      <c r="K50" s="816"/>
      <c r="L50" s="816"/>
      <c r="M50" s="816"/>
      <c r="N50" s="816"/>
      <c r="O50" s="816"/>
      <c r="P50" s="816"/>
      <c r="Q50" s="816"/>
      <c r="R50" s="817"/>
    </row>
    <row r="51" spans="1:18" ht="16.2" customHeight="1" thickBot="1">
      <c r="A51" s="260"/>
      <c r="B51" s="261"/>
      <c r="C51" s="747"/>
      <c r="D51" s="746"/>
      <c r="E51" s="818"/>
      <c r="F51" s="819"/>
      <c r="G51" s="819"/>
      <c r="H51" s="819"/>
      <c r="I51" s="819"/>
      <c r="J51" s="819"/>
      <c r="K51" s="819"/>
      <c r="L51" s="819"/>
      <c r="M51" s="819"/>
      <c r="N51" s="819"/>
      <c r="O51" s="819"/>
      <c r="P51" s="819"/>
      <c r="Q51" s="819"/>
      <c r="R51" s="820"/>
    </row>
    <row r="52" spans="1:18" ht="15.6">
      <c r="A52" s="260"/>
      <c r="B52" s="261"/>
      <c r="C52" s="270"/>
      <c r="D52" s="270"/>
      <c r="E52" s="365"/>
      <c r="F52" s="365"/>
      <c r="G52" s="365"/>
      <c r="H52" s="365"/>
      <c r="I52" s="365"/>
      <c r="J52" s="365"/>
      <c r="K52" s="365"/>
      <c r="L52" s="365"/>
      <c r="M52" s="365"/>
      <c r="N52" s="365"/>
      <c r="O52" s="365"/>
      <c r="P52" s="365"/>
      <c r="Q52" s="365"/>
      <c r="R52" s="366"/>
    </row>
    <row r="53" spans="1:18" ht="15.6">
      <c r="A53" s="264" t="s">
        <v>291</v>
      </c>
      <c r="B53" s="265" t="s">
        <v>411</v>
      </c>
      <c r="C53" s="261"/>
      <c r="D53" s="261"/>
      <c r="E53" s="261"/>
      <c r="F53" s="261"/>
      <c r="G53" s="261"/>
      <c r="H53" s="261"/>
      <c r="I53" s="261"/>
      <c r="J53" s="261"/>
      <c r="K53" s="261"/>
      <c r="L53" s="262"/>
      <c r="M53" s="262"/>
      <c r="N53" s="262"/>
      <c r="O53" s="262"/>
      <c r="P53" s="262"/>
      <c r="Q53" s="262"/>
      <c r="R53" s="263"/>
    </row>
    <row r="54" spans="1:18" ht="15.6">
      <c r="A54" s="260"/>
      <c r="B54" s="261"/>
      <c r="C54" s="261"/>
      <c r="D54" s="261"/>
      <c r="E54" s="261"/>
      <c r="F54" s="261"/>
      <c r="G54" s="261"/>
      <c r="H54" s="261"/>
      <c r="I54" s="261"/>
      <c r="J54" s="261"/>
      <c r="K54" s="261"/>
      <c r="L54" s="262"/>
      <c r="M54" s="262"/>
      <c r="N54" s="262"/>
      <c r="O54" s="262"/>
      <c r="P54" s="262"/>
      <c r="Q54" s="262"/>
      <c r="R54" s="263"/>
    </row>
    <row r="55" spans="1:18" ht="15" thickBot="1">
      <c r="A55" s="271"/>
      <c r="B55" s="272"/>
      <c r="C55" s="272"/>
      <c r="D55" s="272"/>
      <c r="E55" s="272"/>
      <c r="F55" s="272"/>
      <c r="G55" s="272"/>
      <c r="H55" s="272"/>
      <c r="I55" s="272"/>
      <c r="J55" s="272"/>
      <c r="K55" s="272"/>
      <c r="L55" s="272"/>
      <c r="M55" s="272"/>
      <c r="N55" s="272"/>
      <c r="O55" s="272"/>
      <c r="P55" s="272"/>
      <c r="Q55" s="272"/>
      <c r="R55" s="273"/>
    </row>
  </sheetData>
  <sheetProtection algorithmName="SHA-512" hashValue="Zy0bJt+jxbVnteHSv0JybG1qAhx+0t9volGEtxkjrkjuumbS3vonqFwyzi+EcTsTJqhyN6PLdHSdjBxUy/nNvw==" saltValue="27e6O9cBYUqshSKupqAMKg==" spinCount="100000" sheet="1" objects="1" scenarios="1"/>
  <mergeCells count="41">
    <mergeCell ref="A1:R3"/>
    <mergeCell ref="E27:R27"/>
    <mergeCell ref="E24:R24"/>
    <mergeCell ref="E25:R25"/>
    <mergeCell ref="C13:R13"/>
    <mergeCell ref="E23:R23"/>
    <mergeCell ref="E15:R15"/>
    <mergeCell ref="E17:R17"/>
    <mergeCell ref="C17:C22"/>
    <mergeCell ref="A7:R7"/>
    <mergeCell ref="A6:R6"/>
    <mergeCell ref="A4:R4"/>
    <mergeCell ref="E16:R16"/>
    <mergeCell ref="A5:R5"/>
    <mergeCell ref="E21:R21"/>
    <mergeCell ref="E22:R22"/>
    <mergeCell ref="E31:R31"/>
    <mergeCell ref="E29:R30"/>
    <mergeCell ref="E28:R28"/>
    <mergeCell ref="E42:R43"/>
    <mergeCell ref="E34:R34"/>
    <mergeCell ref="E33:R33"/>
    <mergeCell ref="E36:R36"/>
    <mergeCell ref="E32:R32"/>
    <mergeCell ref="E35:R35"/>
    <mergeCell ref="E44:R45"/>
    <mergeCell ref="I9:K9"/>
    <mergeCell ref="C46:C50"/>
    <mergeCell ref="E46:R46"/>
    <mergeCell ref="E47:R48"/>
    <mergeCell ref="E49:R49"/>
    <mergeCell ref="E50:R51"/>
    <mergeCell ref="C14:R14"/>
    <mergeCell ref="E18:R18"/>
    <mergeCell ref="E40:R41"/>
    <mergeCell ref="E39:R39"/>
    <mergeCell ref="E37:R37"/>
    <mergeCell ref="E19:R19"/>
    <mergeCell ref="E38:R38"/>
    <mergeCell ref="E20:R20"/>
    <mergeCell ref="E26:R26"/>
  </mergeCells>
  <pageMargins left="0.7" right="0.7" top="0.75" bottom="0.75" header="0.3" footer="0.3"/>
  <pageSetup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C211"/>
  <sheetViews>
    <sheetView zoomScale="80" zoomScaleNormal="80" workbookViewId="0">
      <pane ySplit="5" topLeftCell="A6" activePane="bottomLeft" state="frozen"/>
      <selection pane="bottomLeft" activeCell="C12" sqref="C12"/>
    </sheetView>
  </sheetViews>
  <sheetFormatPr defaultColWidth="9.109375" defaultRowHeight="18"/>
  <cols>
    <col min="1" max="1" width="42.5546875" style="160" bestFit="1" customWidth="1"/>
    <col min="2" max="2" width="2.44140625" style="160" customWidth="1"/>
    <col min="3" max="3" width="14.44140625" style="160" bestFit="1" customWidth="1"/>
    <col min="4" max="4" width="8.6640625" style="160" customWidth="1"/>
    <col min="5" max="5" width="17" style="160" bestFit="1" customWidth="1"/>
    <col min="6" max="6" width="2.44140625" style="160" customWidth="1"/>
    <col min="7" max="7" width="14.44140625" style="160" bestFit="1" customWidth="1"/>
    <col min="8" max="8" width="8.6640625" style="160" customWidth="1"/>
    <col min="9" max="9" width="17" style="160" customWidth="1"/>
    <col min="10" max="10" width="2.44140625" style="160" customWidth="1"/>
    <col min="11" max="11" width="14.44140625" style="160" bestFit="1" customWidth="1"/>
    <col min="12" max="12" width="8.6640625" style="160" customWidth="1"/>
    <col min="13" max="13" width="17" style="160" customWidth="1"/>
    <col min="14" max="14" width="15.6640625" style="160" hidden="1" customWidth="1"/>
    <col min="15" max="15" width="17.6640625" style="160" hidden="1" customWidth="1"/>
    <col min="16" max="16" width="15.6640625" style="160" hidden="1" customWidth="1"/>
    <col min="17" max="17" width="17.6640625" style="160" hidden="1" customWidth="1"/>
    <col min="18" max="18" width="15.6640625" style="160" hidden="1" customWidth="1"/>
    <col min="19" max="19" width="17.6640625" style="160" hidden="1" customWidth="1"/>
    <col min="20" max="20" width="10.109375" style="160" customWidth="1"/>
    <col min="21" max="21" width="9.109375" style="160"/>
    <col min="22" max="22" width="12.33203125" style="160" bestFit="1" customWidth="1"/>
    <col min="23" max="27" width="9.109375" style="160"/>
    <col min="28" max="28" width="18.33203125" style="160" hidden="1" customWidth="1"/>
    <col min="29" max="16384" width="9.109375" style="160"/>
  </cols>
  <sheetData>
    <row r="1" spans="1:28" ht="15.75" customHeight="1">
      <c r="A1" s="857" t="s">
        <v>572</v>
      </c>
      <c r="B1" s="858"/>
      <c r="C1" s="858"/>
      <c r="D1" s="858"/>
      <c r="E1" s="858"/>
      <c r="F1" s="858"/>
      <c r="G1" s="858"/>
      <c r="H1" s="858"/>
      <c r="I1" s="858"/>
      <c r="J1" s="858"/>
      <c r="K1" s="858"/>
      <c r="L1" s="858"/>
      <c r="M1" s="859"/>
    </row>
    <row r="2" spans="1:28" ht="15.75" customHeight="1">
      <c r="A2" s="860"/>
      <c r="B2" s="861"/>
      <c r="C2" s="861"/>
      <c r="D2" s="861"/>
      <c r="E2" s="861"/>
      <c r="F2" s="861"/>
      <c r="G2" s="861"/>
      <c r="H2" s="861"/>
      <c r="I2" s="861"/>
      <c r="J2" s="861"/>
      <c r="K2" s="861"/>
      <c r="L2" s="861"/>
      <c r="M2" s="862"/>
      <c r="N2" s="161"/>
      <c r="O2" s="161"/>
      <c r="P2" s="161"/>
      <c r="Q2" s="161"/>
      <c r="R2" s="161"/>
      <c r="S2" s="162"/>
    </row>
    <row r="3" spans="1:28" ht="15.75" customHeight="1" thickBot="1">
      <c r="A3" s="863"/>
      <c r="B3" s="864"/>
      <c r="C3" s="864"/>
      <c r="D3" s="864"/>
      <c r="E3" s="864"/>
      <c r="F3" s="864"/>
      <c r="G3" s="864"/>
      <c r="H3" s="864"/>
      <c r="I3" s="864"/>
      <c r="J3" s="864"/>
      <c r="K3" s="864"/>
      <c r="L3" s="864"/>
      <c r="M3" s="865"/>
      <c r="N3" s="163"/>
      <c r="O3" s="163"/>
      <c r="P3" s="163"/>
      <c r="Q3" s="163"/>
      <c r="R3" s="163"/>
      <c r="S3" s="164"/>
    </row>
    <row r="4" spans="1:28" ht="18.600000000000001" thickBot="1">
      <c r="A4" s="165"/>
      <c r="B4" s="166"/>
      <c r="C4" s="167"/>
      <c r="D4" s="167"/>
      <c r="E4" s="167"/>
      <c r="F4" s="167"/>
      <c r="G4" s="167"/>
      <c r="H4" s="167"/>
      <c r="I4" s="167"/>
      <c r="J4" s="167"/>
      <c r="K4" s="167"/>
      <c r="L4" s="167"/>
      <c r="M4" s="168"/>
      <c r="N4" s="169"/>
      <c r="O4" s="169"/>
      <c r="P4" s="170"/>
      <c r="Q4" s="171"/>
      <c r="R4" s="169"/>
      <c r="S4" s="172"/>
    </row>
    <row r="5" spans="1:28" ht="21.6" thickBot="1">
      <c r="A5" s="101"/>
      <c r="B5" s="302"/>
      <c r="C5" s="866" t="s">
        <v>76</v>
      </c>
      <c r="D5" s="867"/>
      <c r="E5" s="868"/>
      <c r="F5" s="158"/>
      <c r="G5" s="866" t="s">
        <v>130</v>
      </c>
      <c r="H5" s="867"/>
      <c r="I5" s="868"/>
      <c r="J5" s="158"/>
      <c r="K5" s="866" t="s">
        <v>131</v>
      </c>
      <c r="L5" s="867"/>
      <c r="M5" s="868"/>
      <c r="N5" s="881" t="s">
        <v>134</v>
      </c>
      <c r="O5" s="880"/>
      <c r="P5" s="879" t="s">
        <v>133</v>
      </c>
      <c r="Q5" s="880"/>
      <c r="R5" s="879" t="s">
        <v>135</v>
      </c>
      <c r="S5" s="882"/>
      <c r="AB5" s="160" t="s">
        <v>534</v>
      </c>
    </row>
    <row r="6" spans="1:28" ht="21.75" customHeight="1" thickBot="1">
      <c r="A6" s="510" t="s">
        <v>533</v>
      </c>
      <c r="B6" s="154"/>
      <c r="C6" s="888" t="s">
        <v>530</v>
      </c>
      <c r="D6" s="889"/>
      <c r="E6" s="890"/>
      <c r="F6" s="320"/>
      <c r="G6" s="888" t="s">
        <v>531</v>
      </c>
      <c r="H6" s="889"/>
      <c r="I6" s="890"/>
      <c r="J6" s="320"/>
      <c r="K6" s="888" t="s">
        <v>532</v>
      </c>
      <c r="L6" s="889"/>
      <c r="M6" s="891"/>
      <c r="N6" s="317"/>
      <c r="O6" s="318"/>
      <c r="P6" s="315"/>
      <c r="Q6" s="318"/>
      <c r="R6" s="315"/>
      <c r="S6" s="316"/>
      <c r="U6" s="610"/>
      <c r="V6" s="610"/>
      <c r="W6" s="610"/>
      <c r="X6" s="610"/>
      <c r="Y6" s="610"/>
      <c r="Z6" s="610"/>
      <c r="AA6" s="610"/>
      <c r="AB6" s="160" t="s">
        <v>530</v>
      </c>
    </row>
    <row r="7" spans="1:28" ht="16.5" customHeight="1">
      <c r="A7" s="509" t="s">
        <v>137</v>
      </c>
      <c r="B7" s="173"/>
      <c r="C7" s="321"/>
      <c r="D7" s="8"/>
      <c r="E7" s="286"/>
      <c r="F7" s="174"/>
      <c r="G7" s="321"/>
      <c r="H7" s="8"/>
      <c r="I7" s="286"/>
      <c r="J7" s="174"/>
      <c r="K7" s="321"/>
      <c r="L7" s="8"/>
      <c r="M7" s="175"/>
      <c r="N7" s="169"/>
      <c r="O7" s="176"/>
      <c r="P7" s="170"/>
      <c r="Q7" s="176"/>
      <c r="R7" s="170"/>
      <c r="S7" s="177"/>
      <c r="U7" s="610"/>
      <c r="V7" s="610"/>
      <c r="W7" s="610"/>
      <c r="X7" s="610"/>
      <c r="Y7" s="610"/>
      <c r="Z7" s="610"/>
      <c r="AA7" s="610"/>
      <c r="AB7" s="160" t="s">
        <v>531</v>
      </c>
    </row>
    <row r="8" spans="1:28" ht="16.5" customHeight="1">
      <c r="A8" s="298" t="s">
        <v>472</v>
      </c>
      <c r="B8" s="154"/>
      <c r="C8" s="394" t="s">
        <v>146</v>
      </c>
      <c r="D8" s="109"/>
      <c r="E8" s="178"/>
      <c r="F8" s="179"/>
      <c r="G8" s="394" t="s">
        <v>146</v>
      </c>
      <c r="H8" s="109"/>
      <c r="I8" s="178"/>
      <c r="J8" s="179"/>
      <c r="K8" s="394" t="s">
        <v>146</v>
      </c>
      <c r="L8" s="8"/>
      <c r="M8" s="175"/>
      <c r="N8" s="169"/>
      <c r="O8" s="176"/>
      <c r="P8" s="170"/>
      <c r="Q8" s="176"/>
      <c r="R8" s="170"/>
      <c r="S8" s="177"/>
      <c r="U8" s="610"/>
      <c r="V8" s="610"/>
      <c r="W8" s="610"/>
      <c r="X8" s="610"/>
      <c r="Y8" s="610"/>
      <c r="Z8" s="610"/>
      <c r="AA8" s="610"/>
      <c r="AB8" s="160" t="s">
        <v>532</v>
      </c>
    </row>
    <row r="9" spans="1:28">
      <c r="A9" s="392" t="s">
        <v>424</v>
      </c>
      <c r="B9" s="2"/>
      <c r="C9" s="395">
        <v>0</v>
      </c>
      <c r="D9" s="396"/>
      <c r="E9" s="397"/>
      <c r="F9" s="398"/>
      <c r="G9" s="395">
        <v>0</v>
      </c>
      <c r="H9" s="396"/>
      <c r="I9" s="397"/>
      <c r="J9" s="398"/>
      <c r="K9" s="395">
        <v>0</v>
      </c>
      <c r="L9" s="399"/>
      <c r="M9" s="400"/>
      <c r="N9" s="181" t="e">
        <f>#REF!+#REF!</f>
        <v>#REF!</v>
      </c>
      <c r="O9" s="182"/>
      <c r="P9" s="183" t="e">
        <f>#REF!+#REF!</f>
        <v>#REF!</v>
      </c>
      <c r="Q9" s="182"/>
      <c r="R9" s="183" t="e">
        <f>#REF!+#REF!</f>
        <v>#REF!</v>
      </c>
      <c r="S9" s="184"/>
      <c r="U9" s="611"/>
      <c r="V9" s="611"/>
      <c r="W9" s="611"/>
      <c r="X9" s="611"/>
      <c r="Y9" s="611"/>
      <c r="Z9" s="611"/>
      <c r="AA9" s="611"/>
      <c r="AB9" s="160" t="s">
        <v>569</v>
      </c>
    </row>
    <row r="10" spans="1:28">
      <c r="A10" s="392" t="s">
        <v>136</v>
      </c>
      <c r="B10" s="2"/>
      <c r="C10" s="401">
        <v>0</v>
      </c>
      <c r="D10" s="402" t="s">
        <v>124</v>
      </c>
      <c r="E10" s="403"/>
      <c r="F10" s="402"/>
      <c r="G10" s="401">
        <v>0</v>
      </c>
      <c r="H10" s="402" t="s">
        <v>124</v>
      </c>
      <c r="I10" s="403"/>
      <c r="J10" s="402"/>
      <c r="K10" s="401">
        <v>0</v>
      </c>
      <c r="L10" s="402" t="s">
        <v>124</v>
      </c>
      <c r="M10" s="400"/>
      <c r="N10" s="85">
        <v>4</v>
      </c>
      <c r="O10" s="83" t="s">
        <v>16</v>
      </c>
      <c r="P10" s="86">
        <v>30</v>
      </c>
      <c r="Q10" s="83" t="s">
        <v>16</v>
      </c>
      <c r="R10" s="86">
        <v>22</v>
      </c>
      <c r="S10" s="84" t="s">
        <v>138</v>
      </c>
      <c r="U10" s="611"/>
      <c r="V10" s="611"/>
      <c r="W10" s="611"/>
      <c r="X10" s="611"/>
      <c r="Y10" s="611"/>
      <c r="Z10" s="611"/>
      <c r="AA10" s="611"/>
      <c r="AB10" s="160" t="s">
        <v>570</v>
      </c>
    </row>
    <row r="11" spans="1:28">
      <c r="A11" s="393" t="s">
        <v>122</v>
      </c>
      <c r="B11" s="156"/>
      <c r="C11" s="401">
        <v>1</v>
      </c>
      <c r="D11" s="402" t="s">
        <v>122</v>
      </c>
      <c r="E11" s="404"/>
      <c r="F11" s="405"/>
      <c r="G11" s="401">
        <v>1</v>
      </c>
      <c r="H11" s="402" t="s">
        <v>122</v>
      </c>
      <c r="I11" s="404"/>
      <c r="J11" s="405"/>
      <c r="K11" s="401">
        <v>1</v>
      </c>
      <c r="L11" s="402" t="s">
        <v>122</v>
      </c>
      <c r="M11" s="406"/>
      <c r="N11" s="12">
        <v>50</v>
      </c>
      <c r="O11" s="13" t="s">
        <v>122</v>
      </c>
      <c r="P11" s="88">
        <v>50</v>
      </c>
      <c r="Q11" s="87" t="s">
        <v>122</v>
      </c>
      <c r="R11" s="12">
        <v>20</v>
      </c>
      <c r="S11" s="185" t="s">
        <v>122</v>
      </c>
      <c r="U11" s="611"/>
      <c r="V11" s="611"/>
      <c r="W11" s="611"/>
      <c r="X11" s="611"/>
      <c r="Y11" s="611"/>
      <c r="Z11" s="611"/>
      <c r="AA11" s="611"/>
      <c r="AB11" s="160" t="s">
        <v>571</v>
      </c>
    </row>
    <row r="12" spans="1:28">
      <c r="A12" s="393"/>
      <c r="B12" s="156"/>
      <c r="C12" s="407"/>
      <c r="D12" s="402"/>
      <c r="E12" s="404"/>
      <c r="F12" s="405"/>
      <c r="G12" s="407"/>
      <c r="H12" s="402"/>
      <c r="I12" s="404"/>
      <c r="J12" s="405"/>
      <c r="K12" s="407"/>
      <c r="L12" s="402"/>
      <c r="M12" s="406"/>
      <c r="N12" s="12"/>
      <c r="O12" s="13"/>
      <c r="P12" s="88"/>
      <c r="Q12" s="87"/>
      <c r="R12" s="12"/>
      <c r="S12" s="185"/>
      <c r="U12" s="612"/>
      <c r="V12" s="612"/>
      <c r="W12" s="612"/>
      <c r="X12" s="612"/>
      <c r="Y12" s="612"/>
      <c r="Z12" s="612"/>
      <c r="AA12" s="612"/>
    </row>
    <row r="13" spans="1:28">
      <c r="A13" s="393" t="s">
        <v>1005</v>
      </c>
      <c r="B13" s="156"/>
      <c r="C13" s="408">
        <f>'Other Income'!O21</f>
        <v>0</v>
      </c>
      <c r="D13" s="402"/>
      <c r="E13" s="404"/>
      <c r="F13" s="405"/>
      <c r="G13" s="408">
        <f>'Other Income'!P21</f>
        <v>0</v>
      </c>
      <c r="H13" s="402"/>
      <c r="I13" s="404"/>
      <c r="J13" s="405"/>
      <c r="K13" s="409">
        <f>'Other Income'!Q21</f>
        <v>0</v>
      </c>
      <c r="L13" s="402"/>
      <c r="M13" s="406"/>
      <c r="N13" s="12"/>
      <c r="O13" s="13"/>
      <c r="P13" s="88"/>
      <c r="Q13" s="87"/>
      <c r="R13" s="12"/>
      <c r="S13" s="185"/>
      <c r="U13" s="612"/>
      <c r="V13" s="612"/>
      <c r="W13" s="612"/>
      <c r="X13" s="612"/>
      <c r="Y13" s="612"/>
      <c r="Z13" s="612"/>
      <c r="AA13" s="612"/>
    </row>
    <row r="14" spans="1:28">
      <c r="A14" s="393"/>
      <c r="B14" s="156"/>
      <c r="C14" s="410"/>
      <c r="D14" s="402"/>
      <c r="E14" s="404"/>
      <c r="F14" s="405"/>
      <c r="G14" s="410"/>
      <c r="H14" s="402"/>
      <c r="I14" s="404"/>
      <c r="J14" s="405"/>
      <c r="K14" s="410"/>
      <c r="L14" s="402"/>
      <c r="M14" s="406"/>
      <c r="N14" s="12"/>
      <c r="O14" s="13"/>
      <c r="P14" s="88"/>
      <c r="Q14" s="87"/>
      <c r="R14" s="12"/>
      <c r="S14" s="185"/>
      <c r="U14" s="611"/>
      <c r="V14" s="611"/>
      <c r="W14" s="611"/>
      <c r="X14" s="611"/>
      <c r="Y14" s="611"/>
      <c r="Z14" s="611"/>
      <c r="AA14" s="611"/>
    </row>
    <row r="15" spans="1:28">
      <c r="A15" s="877" t="s">
        <v>473</v>
      </c>
      <c r="B15" s="892"/>
      <c r="C15" s="411" t="s">
        <v>77</v>
      </c>
      <c r="D15" s="411"/>
      <c r="E15" s="412" t="s">
        <v>471</v>
      </c>
      <c r="F15" s="413"/>
      <c r="G15" s="411" t="s">
        <v>77</v>
      </c>
      <c r="H15" s="411"/>
      <c r="I15" s="412" t="s">
        <v>471</v>
      </c>
      <c r="J15" s="413"/>
      <c r="K15" s="411" t="s">
        <v>77</v>
      </c>
      <c r="L15" s="411"/>
      <c r="M15" s="414" t="s">
        <v>471</v>
      </c>
      <c r="N15" s="90" t="s">
        <v>77</v>
      </c>
      <c r="O15" s="91" t="s">
        <v>91</v>
      </c>
      <c r="P15" s="89" t="s">
        <v>77</v>
      </c>
      <c r="Q15" s="91" t="s">
        <v>91</v>
      </c>
      <c r="R15" s="89" t="s">
        <v>77</v>
      </c>
      <c r="S15" s="92" t="s">
        <v>91</v>
      </c>
    </row>
    <row r="16" spans="1:28" ht="18.600000000000001" thickBot="1">
      <c r="A16" s="878"/>
      <c r="B16" s="892"/>
      <c r="C16" s="415">
        <f>C9*C10+C13</f>
        <v>0</v>
      </c>
      <c r="D16" s="416"/>
      <c r="E16" s="417">
        <f>C16*$C$11</f>
        <v>0</v>
      </c>
      <c r="F16" s="402"/>
      <c r="G16" s="415">
        <f>G9*G10+G13</f>
        <v>0</v>
      </c>
      <c r="H16" s="416"/>
      <c r="I16" s="418">
        <f>G16*$G$11</f>
        <v>0</v>
      </c>
      <c r="J16" s="402"/>
      <c r="K16" s="415">
        <f>K9*K10+K13</f>
        <v>0</v>
      </c>
      <c r="L16" s="416"/>
      <c r="M16" s="419">
        <f>K16*$K$11</f>
        <v>0</v>
      </c>
      <c r="N16" s="186" t="e">
        <f>N9*N10</f>
        <v>#REF!</v>
      </c>
      <c r="O16" s="187" t="e">
        <f>N16*$N$11</f>
        <v>#REF!</v>
      </c>
      <c r="P16" s="188" t="e">
        <f>P9*P10</f>
        <v>#REF!</v>
      </c>
      <c r="Q16" s="187" t="e">
        <f>P16*$P$11</f>
        <v>#REF!</v>
      </c>
      <c r="R16" s="188" t="e">
        <f>R9*R10</f>
        <v>#REF!</v>
      </c>
      <c r="S16" s="189" t="e">
        <f>R16*$R$11</f>
        <v>#REF!</v>
      </c>
    </row>
    <row r="17" spans="1:20" ht="18.600000000000001" thickTop="1">
      <c r="A17" s="180"/>
      <c r="B17" s="2"/>
      <c r="C17" s="420"/>
      <c r="D17" s="405"/>
      <c r="E17" s="403"/>
      <c r="F17" s="402"/>
      <c r="G17" s="420"/>
      <c r="H17" s="405"/>
      <c r="I17" s="403"/>
      <c r="J17" s="402"/>
      <c r="K17" s="420"/>
      <c r="L17" s="405"/>
      <c r="M17" s="400"/>
      <c r="O17" s="182"/>
      <c r="P17" s="191"/>
      <c r="Q17" s="182"/>
      <c r="R17" s="191"/>
      <c r="S17" s="184"/>
    </row>
    <row r="18" spans="1:20">
      <c r="A18" s="508" t="s">
        <v>535</v>
      </c>
      <c r="B18" s="192"/>
      <c r="C18" s="421"/>
      <c r="D18" s="422"/>
      <c r="E18" s="403"/>
      <c r="F18" s="402"/>
      <c r="G18" s="421"/>
      <c r="H18" s="422"/>
      <c r="I18" s="403"/>
      <c r="J18" s="402"/>
      <c r="K18" s="421"/>
      <c r="L18" s="422"/>
      <c r="M18" s="400"/>
      <c r="N18" s="193"/>
      <c r="O18" s="182"/>
      <c r="P18" s="194"/>
      <c r="Q18" s="182"/>
      <c r="R18" s="194"/>
      <c r="S18" s="184"/>
    </row>
    <row r="19" spans="1:20">
      <c r="A19" s="571" t="s">
        <v>652</v>
      </c>
      <c r="B19" s="131"/>
      <c r="C19" s="423" t="s">
        <v>77</v>
      </c>
      <c r="D19" s="424"/>
      <c r="E19" s="425" t="s">
        <v>471</v>
      </c>
      <c r="F19" s="413"/>
      <c r="G19" s="423" t="s">
        <v>77</v>
      </c>
      <c r="H19" s="424"/>
      <c r="I19" s="425" t="s">
        <v>471</v>
      </c>
      <c r="J19" s="413"/>
      <c r="K19" s="423" t="s">
        <v>77</v>
      </c>
      <c r="L19" s="424"/>
      <c r="M19" s="426" t="s">
        <v>471</v>
      </c>
      <c r="N19" s="193"/>
      <c r="O19" s="182"/>
      <c r="P19" s="194"/>
      <c r="Q19" s="182"/>
      <c r="R19" s="194"/>
      <c r="S19" s="184"/>
    </row>
    <row r="20" spans="1:20">
      <c r="A20" s="456" t="s">
        <v>92</v>
      </c>
      <c r="B20" s="195"/>
      <c r="C20" s="427">
        <f>'Variable &amp; Fixed'!G6</f>
        <v>0</v>
      </c>
      <c r="D20" s="428">
        <f t="shared" ref="D20:D45" si="0">C20</f>
        <v>0</v>
      </c>
      <c r="E20" s="429">
        <f t="shared" ref="E20" si="1">C20*$C$11</f>
        <v>0</v>
      </c>
      <c r="F20" s="402"/>
      <c r="G20" s="430">
        <f>'Variable &amp; Fixed'!L6</f>
        <v>0</v>
      </c>
      <c r="H20" s="431">
        <f t="shared" ref="H20:H45" si="2">G20</f>
        <v>0</v>
      </c>
      <c r="I20" s="427">
        <f t="shared" ref="I20:I28" si="3">G20*$G$11</f>
        <v>0</v>
      </c>
      <c r="J20" s="402"/>
      <c r="K20" s="430">
        <f>'Variable &amp; Fixed'!R6</f>
        <v>0</v>
      </c>
      <c r="L20" s="431">
        <f t="shared" ref="L20:L45" si="4">K20</f>
        <v>0</v>
      </c>
      <c r="M20" s="432">
        <f t="shared" ref="M20:M28" si="5">K20*$K$11</f>
        <v>0</v>
      </c>
      <c r="N20" s="196" t="e">
        <f>#REF!</f>
        <v>#REF!</v>
      </c>
      <c r="O20" s="197" t="e">
        <f>N20*$C$11</f>
        <v>#REF!</v>
      </c>
      <c r="P20" s="198" t="e">
        <f>#REF!</f>
        <v>#REF!</v>
      </c>
      <c r="Q20" s="197" t="e">
        <f>P20*$C$11</f>
        <v>#REF!</v>
      </c>
      <c r="R20" s="198" t="e">
        <f>#REF!</f>
        <v>#REF!</v>
      </c>
      <c r="S20" s="199" t="e">
        <f>R20*$C$11</f>
        <v>#REF!</v>
      </c>
      <c r="T20" s="200"/>
    </row>
    <row r="21" spans="1:20">
      <c r="A21" s="392" t="s">
        <v>93</v>
      </c>
      <c r="B21" s="195"/>
      <c r="C21" s="427">
        <f>'Fertilizer Plan'!G72</f>
        <v>0</v>
      </c>
      <c r="D21" s="428">
        <f t="shared" si="0"/>
        <v>0</v>
      </c>
      <c r="E21" s="429">
        <f t="shared" ref="E21:E28" si="6">C21*$C$11</f>
        <v>0</v>
      </c>
      <c r="F21" s="402"/>
      <c r="G21" s="430">
        <f>'Fertilizer Plan'!S72</f>
        <v>0</v>
      </c>
      <c r="H21" s="431">
        <f t="shared" si="2"/>
        <v>0</v>
      </c>
      <c r="I21" s="427">
        <f t="shared" si="3"/>
        <v>0</v>
      </c>
      <c r="J21" s="402"/>
      <c r="K21" s="430">
        <f>'Fertilizer Plan'!AE72</f>
        <v>0</v>
      </c>
      <c r="L21" s="431">
        <f t="shared" si="4"/>
        <v>0</v>
      </c>
      <c r="M21" s="432">
        <f t="shared" si="5"/>
        <v>0</v>
      </c>
      <c r="N21" s="201">
        <v>0</v>
      </c>
      <c r="O21" s="202">
        <f>N21*$C$11</f>
        <v>0</v>
      </c>
      <c r="P21" s="203">
        <v>0</v>
      </c>
      <c r="Q21" s="202">
        <f>P21*$C$11</f>
        <v>0</v>
      </c>
      <c r="R21" s="203">
        <v>0</v>
      </c>
      <c r="S21" s="204">
        <f>R21*$C$11</f>
        <v>0</v>
      </c>
      <c r="T21" s="200"/>
    </row>
    <row r="22" spans="1:20">
      <c r="A22" s="392" t="s">
        <v>423</v>
      </c>
      <c r="B22" s="195"/>
      <c r="C22" s="429"/>
      <c r="D22" s="428">
        <f t="shared" si="0"/>
        <v>0</v>
      </c>
      <c r="E22" s="429"/>
      <c r="F22" s="402"/>
      <c r="G22" s="427"/>
      <c r="H22" s="431">
        <f t="shared" si="2"/>
        <v>0</v>
      </c>
      <c r="I22" s="427"/>
      <c r="J22" s="402"/>
      <c r="K22" s="427"/>
      <c r="L22" s="431">
        <f t="shared" si="4"/>
        <v>0</v>
      </c>
      <c r="M22" s="432"/>
      <c r="N22" s="201"/>
      <c r="O22" s="202"/>
      <c r="P22" s="203"/>
      <c r="Q22" s="202"/>
      <c r="R22" s="203"/>
      <c r="S22" s="204"/>
      <c r="T22" s="200"/>
    </row>
    <row r="23" spans="1:20">
      <c r="A23" s="460" t="s">
        <v>426</v>
      </c>
      <c r="B23" s="159"/>
      <c r="C23" s="427">
        <f>'Chemical Plan'!H20+'Chemical Plan'!H42</f>
        <v>0</v>
      </c>
      <c r="D23" s="428">
        <f t="shared" si="0"/>
        <v>0</v>
      </c>
      <c r="E23" s="429">
        <f>C23*$C$11</f>
        <v>0</v>
      </c>
      <c r="F23" s="402"/>
      <c r="G23" s="430">
        <f>'Chemical Plan'!R20+'Chemical Plan'!R42</f>
        <v>0</v>
      </c>
      <c r="H23" s="431">
        <f t="shared" si="2"/>
        <v>0</v>
      </c>
      <c r="I23" s="427">
        <f>G23*$G$11</f>
        <v>0</v>
      </c>
      <c r="J23" s="402"/>
      <c r="K23" s="430">
        <f>'Chemical Plan'!AB20+'Chemical Plan'!AB42</f>
        <v>0</v>
      </c>
      <c r="L23" s="431">
        <f t="shared" si="4"/>
        <v>0</v>
      </c>
      <c r="M23" s="432">
        <f>K23*$K$11</f>
        <v>0</v>
      </c>
      <c r="N23" s="201"/>
      <c r="O23" s="202"/>
      <c r="P23" s="203"/>
      <c r="Q23" s="202"/>
      <c r="R23" s="203"/>
      <c r="S23" s="204"/>
      <c r="T23" s="200"/>
    </row>
    <row r="24" spans="1:20">
      <c r="A24" s="460" t="s">
        <v>123</v>
      </c>
      <c r="B24" s="159"/>
      <c r="C24" s="427">
        <f>'Chemical Plan'!H62</f>
        <v>0</v>
      </c>
      <c r="D24" s="428">
        <f t="shared" si="0"/>
        <v>0</v>
      </c>
      <c r="E24" s="429">
        <f t="shared" si="6"/>
        <v>0</v>
      </c>
      <c r="F24" s="402"/>
      <c r="G24" s="430">
        <f>'Chemical Plan'!R62</f>
        <v>0</v>
      </c>
      <c r="H24" s="431">
        <f t="shared" si="2"/>
        <v>0</v>
      </c>
      <c r="I24" s="427">
        <f t="shared" si="3"/>
        <v>0</v>
      </c>
      <c r="J24" s="402"/>
      <c r="K24" s="430">
        <f>'Chemical Plan'!AB62</f>
        <v>0</v>
      </c>
      <c r="L24" s="431">
        <f t="shared" si="4"/>
        <v>0</v>
      </c>
      <c r="M24" s="432">
        <f t="shared" si="5"/>
        <v>0</v>
      </c>
      <c r="N24" s="201"/>
      <c r="O24" s="202"/>
      <c r="P24" s="203"/>
      <c r="Q24" s="202"/>
      <c r="R24" s="203"/>
      <c r="S24" s="204"/>
      <c r="T24" s="200"/>
    </row>
    <row r="25" spans="1:20">
      <c r="A25" s="460" t="s">
        <v>161</v>
      </c>
      <c r="B25" s="159"/>
      <c r="C25" s="427">
        <f>'Chemical Plan'!H79</f>
        <v>0</v>
      </c>
      <c r="D25" s="428">
        <f t="shared" si="0"/>
        <v>0</v>
      </c>
      <c r="E25" s="429">
        <f t="shared" si="6"/>
        <v>0</v>
      </c>
      <c r="F25" s="402"/>
      <c r="G25" s="430">
        <f>'Chemical Plan'!R79</f>
        <v>0</v>
      </c>
      <c r="H25" s="431">
        <f t="shared" si="2"/>
        <v>0</v>
      </c>
      <c r="I25" s="427">
        <f t="shared" si="3"/>
        <v>0</v>
      </c>
      <c r="J25" s="402"/>
      <c r="K25" s="430">
        <f>'Chemical Plan'!AB79</f>
        <v>0</v>
      </c>
      <c r="L25" s="431">
        <f t="shared" si="4"/>
        <v>0</v>
      </c>
      <c r="M25" s="432">
        <f t="shared" si="5"/>
        <v>0</v>
      </c>
      <c r="N25" s="201"/>
      <c r="O25" s="202"/>
      <c r="P25" s="203"/>
      <c r="Q25" s="202"/>
      <c r="R25" s="203"/>
      <c r="S25" s="204"/>
      <c r="T25" s="200"/>
    </row>
    <row r="26" spans="1:20">
      <c r="A26" s="392" t="s">
        <v>97</v>
      </c>
      <c r="B26" s="195"/>
      <c r="C26" s="429">
        <f>'Variable &amp; Fixed'!G10</f>
        <v>0</v>
      </c>
      <c r="D26" s="428">
        <f t="shared" si="0"/>
        <v>0</v>
      </c>
      <c r="E26" s="429">
        <f t="shared" si="6"/>
        <v>0</v>
      </c>
      <c r="F26" s="402"/>
      <c r="G26" s="427">
        <f>'Variable &amp; Fixed'!L10</f>
        <v>0</v>
      </c>
      <c r="H26" s="431">
        <f t="shared" si="2"/>
        <v>0</v>
      </c>
      <c r="I26" s="427">
        <f t="shared" si="3"/>
        <v>0</v>
      </c>
      <c r="J26" s="402"/>
      <c r="K26" s="427">
        <f>'Variable &amp; Fixed'!R10</f>
        <v>0</v>
      </c>
      <c r="L26" s="431">
        <f t="shared" si="4"/>
        <v>0</v>
      </c>
      <c r="M26" s="432">
        <f t="shared" si="5"/>
        <v>0</v>
      </c>
      <c r="N26" s="201"/>
      <c r="O26" s="202"/>
      <c r="P26" s="203"/>
      <c r="Q26" s="202"/>
      <c r="R26" s="203"/>
      <c r="S26" s="204"/>
      <c r="T26" s="200"/>
    </row>
    <row r="27" spans="1:20">
      <c r="A27" s="392" t="s">
        <v>419</v>
      </c>
      <c r="B27" s="195"/>
      <c r="C27" s="429">
        <f>'Variable &amp; Fixed'!G11</f>
        <v>0</v>
      </c>
      <c r="D27" s="428">
        <f t="shared" si="0"/>
        <v>0</v>
      </c>
      <c r="E27" s="429">
        <f t="shared" si="6"/>
        <v>0</v>
      </c>
      <c r="F27" s="402"/>
      <c r="G27" s="427">
        <f>'Variable &amp; Fixed'!L11</f>
        <v>0</v>
      </c>
      <c r="H27" s="431">
        <f t="shared" si="2"/>
        <v>0</v>
      </c>
      <c r="I27" s="427">
        <f t="shared" si="3"/>
        <v>0</v>
      </c>
      <c r="J27" s="402"/>
      <c r="K27" s="427">
        <f>'Variable &amp; Fixed'!R11</f>
        <v>0</v>
      </c>
      <c r="L27" s="431">
        <f t="shared" si="4"/>
        <v>0</v>
      </c>
      <c r="M27" s="432">
        <f t="shared" si="5"/>
        <v>0</v>
      </c>
      <c r="N27" s="205"/>
      <c r="O27" s="202"/>
      <c r="P27" s="206"/>
      <c r="Q27" s="202"/>
      <c r="R27" s="206"/>
      <c r="S27" s="204"/>
      <c r="T27" s="200"/>
    </row>
    <row r="28" spans="1:20">
      <c r="A28" s="392" t="s">
        <v>103</v>
      </c>
      <c r="B28" s="195"/>
      <c r="C28" s="429">
        <f>'Variable &amp; Fixed'!G12</f>
        <v>0</v>
      </c>
      <c r="D28" s="428">
        <f t="shared" si="0"/>
        <v>0</v>
      </c>
      <c r="E28" s="429">
        <f t="shared" si="6"/>
        <v>0</v>
      </c>
      <c r="F28" s="402"/>
      <c r="G28" s="427">
        <f>'Variable &amp; Fixed'!L12</f>
        <v>0</v>
      </c>
      <c r="H28" s="431">
        <f t="shared" si="2"/>
        <v>0</v>
      </c>
      <c r="I28" s="427">
        <f t="shared" si="3"/>
        <v>0</v>
      </c>
      <c r="J28" s="402"/>
      <c r="K28" s="427">
        <f>'Variable &amp; Fixed'!R12</f>
        <v>0</v>
      </c>
      <c r="L28" s="431">
        <f t="shared" si="4"/>
        <v>0</v>
      </c>
      <c r="M28" s="432">
        <f t="shared" si="5"/>
        <v>0</v>
      </c>
      <c r="N28" s="205" t="e">
        <f>'Variable &amp; Fixed'!#REF!</f>
        <v>#REF!</v>
      </c>
      <c r="O28" s="202" t="e">
        <f>N28*$C$11</f>
        <v>#REF!</v>
      </c>
      <c r="P28" s="206" t="e">
        <f>'Variable &amp; Fixed'!#REF!</f>
        <v>#REF!</v>
      </c>
      <c r="Q28" s="202" t="e">
        <f>P28*$C$11</f>
        <v>#REF!</v>
      </c>
      <c r="R28" s="206" t="e">
        <f>'Variable &amp; Fixed'!#REF!</f>
        <v>#REF!</v>
      </c>
      <c r="S28" s="204" t="e">
        <f>R28*$C$11</f>
        <v>#REF!</v>
      </c>
      <c r="T28" s="200"/>
    </row>
    <row r="29" spans="1:20">
      <c r="A29" s="392" t="s">
        <v>99</v>
      </c>
      <c r="B29" s="195"/>
      <c r="C29" s="429"/>
      <c r="D29" s="428">
        <f t="shared" si="0"/>
        <v>0</v>
      </c>
      <c r="E29" s="429"/>
      <c r="F29" s="402"/>
      <c r="G29" s="427"/>
      <c r="H29" s="431">
        <f t="shared" si="2"/>
        <v>0</v>
      </c>
      <c r="I29" s="427"/>
      <c r="J29" s="402"/>
      <c r="K29" s="427"/>
      <c r="L29" s="431">
        <f t="shared" si="4"/>
        <v>0</v>
      </c>
      <c r="M29" s="432"/>
      <c r="N29" s="205" t="e">
        <f>'Variable &amp; Fixed'!#REF!</f>
        <v>#REF!</v>
      </c>
      <c r="O29" s="202" t="e">
        <f>N29*$C$11</f>
        <v>#REF!</v>
      </c>
      <c r="P29" s="206" t="e">
        <f>'Variable &amp; Fixed'!#REF!</f>
        <v>#REF!</v>
      </c>
      <c r="Q29" s="202" t="e">
        <f>P29*$C$11</f>
        <v>#REF!</v>
      </c>
      <c r="R29" s="206" t="e">
        <f>'Variable &amp; Fixed'!#REF!</f>
        <v>#REF!</v>
      </c>
      <c r="S29" s="204" t="e">
        <f>R29*$C$11</f>
        <v>#REF!</v>
      </c>
      <c r="T29" s="200"/>
    </row>
    <row r="30" spans="1:20">
      <c r="A30" s="461" t="s">
        <v>100</v>
      </c>
      <c r="B30" s="207"/>
      <c r="C30" s="429">
        <f>'Variable &amp; Fixed'!G14</f>
        <v>0</v>
      </c>
      <c r="D30" s="428">
        <f t="shared" si="0"/>
        <v>0</v>
      </c>
      <c r="E30" s="429">
        <f>C30*$C$11</f>
        <v>0</v>
      </c>
      <c r="F30" s="402"/>
      <c r="G30" s="427">
        <f>'Variable &amp; Fixed'!L14</f>
        <v>0</v>
      </c>
      <c r="H30" s="431">
        <f t="shared" si="2"/>
        <v>0</v>
      </c>
      <c r="I30" s="427">
        <f t="shared" ref="I30:I45" si="7">G30*$G$11</f>
        <v>0</v>
      </c>
      <c r="J30" s="402"/>
      <c r="K30" s="427">
        <f>'Variable &amp; Fixed'!R14</f>
        <v>0</v>
      </c>
      <c r="L30" s="431">
        <f t="shared" si="4"/>
        <v>0</v>
      </c>
      <c r="M30" s="432">
        <f t="shared" ref="M30:M53" si="8">K30*$K$11</f>
        <v>0</v>
      </c>
      <c r="N30" s="201">
        <v>0</v>
      </c>
      <c r="O30" s="202">
        <f>N30*$C$11</f>
        <v>0</v>
      </c>
      <c r="P30" s="203">
        <v>0</v>
      </c>
      <c r="Q30" s="202">
        <f>P30*$C$11</f>
        <v>0</v>
      </c>
      <c r="R30" s="203">
        <v>0</v>
      </c>
      <c r="S30" s="204">
        <f>R30*$C$11</f>
        <v>0</v>
      </c>
      <c r="T30" s="200"/>
    </row>
    <row r="31" spans="1:20">
      <c r="A31" s="461" t="s">
        <v>101</v>
      </c>
      <c r="B31" s="207"/>
      <c r="C31" s="429">
        <f>'Variable &amp; Fixed'!G15</f>
        <v>0</v>
      </c>
      <c r="D31" s="428">
        <f t="shared" si="0"/>
        <v>0</v>
      </c>
      <c r="E31" s="429">
        <f>C31*$C$11</f>
        <v>0</v>
      </c>
      <c r="F31" s="402"/>
      <c r="G31" s="427">
        <f>'Variable &amp; Fixed'!L15</f>
        <v>0</v>
      </c>
      <c r="H31" s="431">
        <f t="shared" si="2"/>
        <v>0</v>
      </c>
      <c r="I31" s="427">
        <f t="shared" si="7"/>
        <v>0</v>
      </c>
      <c r="J31" s="402"/>
      <c r="K31" s="427">
        <f>'Variable &amp; Fixed'!R15</f>
        <v>0</v>
      </c>
      <c r="L31" s="431">
        <f t="shared" si="4"/>
        <v>0</v>
      </c>
      <c r="M31" s="432">
        <f t="shared" si="8"/>
        <v>0</v>
      </c>
      <c r="N31" s="205"/>
      <c r="O31" s="202"/>
      <c r="P31" s="206"/>
      <c r="Q31" s="202"/>
      <c r="R31" s="206"/>
      <c r="S31" s="204"/>
      <c r="T31" s="200"/>
    </row>
    <row r="32" spans="1:20">
      <c r="A32" s="392" t="s">
        <v>102</v>
      </c>
      <c r="B32" s="195"/>
      <c r="C32" s="429"/>
      <c r="D32" s="428">
        <f t="shared" si="0"/>
        <v>0</v>
      </c>
      <c r="E32" s="429"/>
      <c r="F32" s="402"/>
      <c r="G32" s="427"/>
      <c r="H32" s="431">
        <f t="shared" si="2"/>
        <v>0</v>
      </c>
      <c r="I32" s="427"/>
      <c r="J32" s="402"/>
      <c r="K32" s="427"/>
      <c r="L32" s="431">
        <f t="shared" si="4"/>
        <v>0</v>
      </c>
      <c r="M32" s="432"/>
      <c r="N32" s="205" t="e">
        <f>'Variable &amp; Fixed'!#REF!</f>
        <v>#REF!</v>
      </c>
      <c r="O32" s="202" t="e">
        <f>N32*$C$11</f>
        <v>#REF!</v>
      </c>
      <c r="P32" s="206" t="e">
        <f>'Variable &amp; Fixed'!#REF!</f>
        <v>#REF!</v>
      </c>
      <c r="Q32" s="202" t="e">
        <f>P32*$C$11</f>
        <v>#REF!</v>
      </c>
      <c r="R32" s="206" t="e">
        <f>'Variable &amp; Fixed'!#REF!</f>
        <v>#REF!</v>
      </c>
      <c r="S32" s="204" t="e">
        <f>R32*$C$11</f>
        <v>#REF!</v>
      </c>
      <c r="T32" s="200"/>
    </row>
    <row r="33" spans="1:22">
      <c r="A33" s="462" t="s">
        <v>420</v>
      </c>
      <c r="B33" s="208"/>
      <c r="C33" s="429">
        <f>'Variable &amp; Fixed'!G17</f>
        <v>0</v>
      </c>
      <c r="D33" s="428">
        <f t="shared" si="0"/>
        <v>0</v>
      </c>
      <c r="E33" s="429">
        <f t="shared" ref="E33:E41" si="9">C33*$C$11</f>
        <v>0</v>
      </c>
      <c r="F33" s="402"/>
      <c r="G33" s="427">
        <f>'Variable &amp; Fixed'!L17</f>
        <v>0</v>
      </c>
      <c r="H33" s="431">
        <f t="shared" si="2"/>
        <v>0</v>
      </c>
      <c r="I33" s="427">
        <f t="shared" si="7"/>
        <v>0</v>
      </c>
      <c r="J33" s="402"/>
      <c r="K33" s="427">
        <f>'Variable &amp; Fixed'!R17</f>
        <v>0</v>
      </c>
      <c r="L33" s="431">
        <f t="shared" si="4"/>
        <v>0</v>
      </c>
      <c r="M33" s="432">
        <f t="shared" si="8"/>
        <v>0</v>
      </c>
      <c r="N33" s="205" t="e">
        <f>'Variable &amp; Fixed'!#REF!</f>
        <v>#REF!</v>
      </c>
      <c r="O33" s="202" t="e">
        <f>N33*$C$11</f>
        <v>#REF!</v>
      </c>
      <c r="P33" s="206" t="e">
        <f>'Variable &amp; Fixed'!#REF!</f>
        <v>#REF!</v>
      </c>
      <c r="Q33" s="202" t="e">
        <f>P33*$C$11</f>
        <v>#REF!</v>
      </c>
      <c r="R33" s="206" t="e">
        <f>'Variable &amp; Fixed'!#REF!</f>
        <v>#REF!</v>
      </c>
      <c r="S33" s="204" t="e">
        <f>R33*$C$11</f>
        <v>#REF!</v>
      </c>
      <c r="T33" s="200"/>
    </row>
    <row r="34" spans="1:22">
      <c r="A34" s="462" t="s">
        <v>421</v>
      </c>
      <c r="B34" s="208"/>
      <c r="C34" s="429">
        <f>'Variable &amp; Fixed'!G18</f>
        <v>0</v>
      </c>
      <c r="D34" s="428">
        <f t="shared" si="0"/>
        <v>0</v>
      </c>
      <c r="E34" s="429">
        <f t="shared" si="9"/>
        <v>0</v>
      </c>
      <c r="F34" s="402"/>
      <c r="G34" s="427">
        <f>'Variable &amp; Fixed'!L18</f>
        <v>0</v>
      </c>
      <c r="H34" s="431">
        <f t="shared" si="2"/>
        <v>0</v>
      </c>
      <c r="I34" s="427">
        <f t="shared" si="7"/>
        <v>0</v>
      </c>
      <c r="J34" s="402"/>
      <c r="K34" s="427">
        <f>'Variable &amp; Fixed'!R18</f>
        <v>0</v>
      </c>
      <c r="L34" s="431">
        <f t="shared" si="4"/>
        <v>0</v>
      </c>
      <c r="M34" s="432">
        <f t="shared" si="8"/>
        <v>0</v>
      </c>
      <c r="N34" s="205" t="e">
        <f>'Variable &amp; Fixed'!#REF!</f>
        <v>#REF!</v>
      </c>
      <c r="O34" s="202" t="e">
        <f>N34*$C$11</f>
        <v>#REF!</v>
      </c>
      <c r="P34" s="206" t="e">
        <f>'Variable &amp; Fixed'!#REF!</f>
        <v>#REF!</v>
      </c>
      <c r="Q34" s="202" t="e">
        <f>P34*$C$11</f>
        <v>#REF!</v>
      </c>
      <c r="R34" s="206" t="e">
        <f>'Variable &amp; Fixed'!#REF!</f>
        <v>#REF!</v>
      </c>
      <c r="S34" s="204" t="e">
        <f>R34*$C$11</f>
        <v>#REF!</v>
      </c>
      <c r="T34" s="200"/>
    </row>
    <row r="35" spans="1:22">
      <c r="A35" s="392" t="s">
        <v>94</v>
      </c>
      <c r="B35" s="195"/>
      <c r="C35" s="429"/>
      <c r="D35" s="428">
        <f t="shared" si="0"/>
        <v>0</v>
      </c>
      <c r="E35" s="429"/>
      <c r="F35" s="402"/>
      <c r="G35" s="427"/>
      <c r="H35" s="431">
        <f t="shared" si="2"/>
        <v>0</v>
      </c>
      <c r="I35" s="427"/>
      <c r="J35" s="402"/>
      <c r="K35" s="427"/>
      <c r="L35" s="431">
        <f t="shared" si="4"/>
        <v>0</v>
      </c>
      <c r="M35" s="432"/>
      <c r="N35" s="205"/>
      <c r="O35" s="202"/>
      <c r="P35" s="206"/>
      <c r="Q35" s="202"/>
      <c r="R35" s="206"/>
      <c r="S35" s="204"/>
      <c r="T35" s="200"/>
    </row>
    <row r="36" spans="1:22">
      <c r="A36" s="461" t="s">
        <v>95</v>
      </c>
      <c r="B36" s="207"/>
      <c r="C36" s="429">
        <f>'Variable &amp; Fixed'!G20</f>
        <v>0</v>
      </c>
      <c r="D36" s="428">
        <f t="shared" si="0"/>
        <v>0</v>
      </c>
      <c r="E36" s="429">
        <f t="shared" si="9"/>
        <v>0</v>
      </c>
      <c r="F36" s="402"/>
      <c r="G36" s="427">
        <f>'Variable &amp; Fixed'!L20</f>
        <v>0</v>
      </c>
      <c r="H36" s="431">
        <f t="shared" si="2"/>
        <v>0</v>
      </c>
      <c r="I36" s="427">
        <f t="shared" si="7"/>
        <v>0</v>
      </c>
      <c r="J36" s="402"/>
      <c r="K36" s="427">
        <f>'Variable &amp; Fixed'!R20</f>
        <v>0</v>
      </c>
      <c r="L36" s="431">
        <f t="shared" si="4"/>
        <v>0</v>
      </c>
      <c r="M36" s="432">
        <f t="shared" si="8"/>
        <v>0</v>
      </c>
      <c r="N36" s="205" t="e">
        <f>'Variable &amp; Fixed'!#REF!</f>
        <v>#REF!</v>
      </c>
      <c r="O36" s="202" t="e">
        <f t="shared" ref="O36:O42" si="10">N36*$C$11</f>
        <v>#REF!</v>
      </c>
      <c r="P36" s="206" t="e">
        <f>'Variable &amp; Fixed'!#REF!</f>
        <v>#REF!</v>
      </c>
      <c r="Q36" s="202" t="e">
        <f t="shared" ref="Q36:Q42" si="11">P36*$C$11</f>
        <v>#REF!</v>
      </c>
      <c r="R36" s="206" t="e">
        <f>'Variable &amp; Fixed'!#REF!</f>
        <v>#REF!</v>
      </c>
      <c r="S36" s="204" t="e">
        <f t="shared" ref="S36:S42" si="12">R36*$C$11</f>
        <v>#REF!</v>
      </c>
      <c r="T36" s="200"/>
    </row>
    <row r="37" spans="1:22">
      <c r="A37" s="461" t="s">
        <v>96</v>
      </c>
      <c r="B37" s="207"/>
      <c r="C37" s="429">
        <f>'Variable &amp; Fixed'!G21</f>
        <v>0</v>
      </c>
      <c r="D37" s="428">
        <f t="shared" si="0"/>
        <v>0</v>
      </c>
      <c r="E37" s="429">
        <f t="shared" si="9"/>
        <v>0</v>
      </c>
      <c r="F37" s="402"/>
      <c r="G37" s="427">
        <f>'Variable &amp; Fixed'!L21</f>
        <v>0</v>
      </c>
      <c r="H37" s="431">
        <f t="shared" si="2"/>
        <v>0</v>
      </c>
      <c r="I37" s="427">
        <f t="shared" si="7"/>
        <v>0</v>
      </c>
      <c r="J37" s="402"/>
      <c r="K37" s="427">
        <f>'Variable &amp; Fixed'!R21</f>
        <v>0</v>
      </c>
      <c r="L37" s="431">
        <f t="shared" si="4"/>
        <v>0</v>
      </c>
      <c r="M37" s="432">
        <f t="shared" si="8"/>
        <v>0</v>
      </c>
      <c r="N37" s="205" t="e">
        <f>'Variable &amp; Fixed'!#REF!</f>
        <v>#REF!</v>
      </c>
      <c r="O37" s="202" t="e">
        <f t="shared" si="10"/>
        <v>#REF!</v>
      </c>
      <c r="P37" s="206" t="e">
        <f>'Variable &amp; Fixed'!#REF!</f>
        <v>#REF!</v>
      </c>
      <c r="Q37" s="202" t="e">
        <f t="shared" si="11"/>
        <v>#REF!</v>
      </c>
      <c r="R37" s="206" t="e">
        <f>'Variable &amp; Fixed'!#REF!</f>
        <v>#REF!</v>
      </c>
      <c r="S37" s="204" t="e">
        <f t="shared" si="12"/>
        <v>#REF!</v>
      </c>
      <c r="T37" s="200"/>
    </row>
    <row r="38" spans="1:22">
      <c r="A38" s="461" t="s">
        <v>293</v>
      </c>
      <c r="B38" s="207"/>
      <c r="C38" s="429">
        <f>'Variable &amp; Fixed'!G22</f>
        <v>0</v>
      </c>
      <c r="D38" s="428">
        <f t="shared" si="0"/>
        <v>0</v>
      </c>
      <c r="E38" s="429">
        <f t="shared" si="9"/>
        <v>0</v>
      </c>
      <c r="F38" s="402"/>
      <c r="G38" s="427">
        <f>'Variable &amp; Fixed'!L22</f>
        <v>0</v>
      </c>
      <c r="H38" s="431">
        <f t="shared" si="2"/>
        <v>0</v>
      </c>
      <c r="I38" s="427">
        <f t="shared" si="7"/>
        <v>0</v>
      </c>
      <c r="J38" s="402"/>
      <c r="K38" s="427">
        <f>'Variable &amp; Fixed'!R22</f>
        <v>0</v>
      </c>
      <c r="L38" s="431">
        <f t="shared" si="4"/>
        <v>0</v>
      </c>
      <c r="M38" s="432">
        <f t="shared" si="8"/>
        <v>0</v>
      </c>
      <c r="N38" s="205" t="e">
        <f>'Variable &amp; Fixed'!#REF!</f>
        <v>#REF!</v>
      </c>
      <c r="O38" s="202" t="e">
        <f t="shared" si="10"/>
        <v>#REF!</v>
      </c>
      <c r="P38" s="206" t="e">
        <f>'Variable &amp; Fixed'!#REF!</f>
        <v>#REF!</v>
      </c>
      <c r="Q38" s="202" t="e">
        <f t="shared" si="11"/>
        <v>#REF!</v>
      </c>
      <c r="R38" s="206" t="e">
        <f>'Variable &amp; Fixed'!#REF!</f>
        <v>#REF!</v>
      </c>
      <c r="S38" s="204" t="e">
        <f t="shared" si="12"/>
        <v>#REF!</v>
      </c>
      <c r="T38" s="200"/>
    </row>
    <row r="39" spans="1:22">
      <c r="A39" s="392" t="s">
        <v>98</v>
      </c>
      <c r="B39" s="195"/>
      <c r="C39" s="429">
        <f>'Variable &amp; Fixed'!G23</f>
        <v>0</v>
      </c>
      <c r="D39" s="428">
        <f t="shared" si="0"/>
        <v>0</v>
      </c>
      <c r="E39" s="429">
        <f t="shared" si="9"/>
        <v>0</v>
      </c>
      <c r="F39" s="402"/>
      <c r="G39" s="427">
        <f>'Variable &amp; Fixed'!L23</f>
        <v>0</v>
      </c>
      <c r="H39" s="431">
        <f t="shared" si="2"/>
        <v>0</v>
      </c>
      <c r="I39" s="427">
        <f t="shared" si="7"/>
        <v>0</v>
      </c>
      <c r="J39" s="402"/>
      <c r="K39" s="427">
        <f>'Variable &amp; Fixed'!R23</f>
        <v>0</v>
      </c>
      <c r="L39" s="431">
        <f t="shared" si="4"/>
        <v>0</v>
      </c>
      <c r="M39" s="432">
        <f t="shared" si="8"/>
        <v>0</v>
      </c>
      <c r="N39" s="205" t="e">
        <f>'Variable &amp; Fixed'!#REF!</f>
        <v>#REF!</v>
      </c>
      <c r="O39" s="202" t="e">
        <f t="shared" si="10"/>
        <v>#REF!</v>
      </c>
      <c r="P39" s="206" t="e">
        <f>'Variable &amp; Fixed'!#REF!</f>
        <v>#REF!</v>
      </c>
      <c r="Q39" s="202" t="e">
        <f t="shared" si="11"/>
        <v>#REF!</v>
      </c>
      <c r="R39" s="206" t="e">
        <f>'Variable &amp; Fixed'!#REF!</f>
        <v>#REF!</v>
      </c>
      <c r="S39" s="204" t="e">
        <f t="shared" si="12"/>
        <v>#REF!</v>
      </c>
      <c r="T39" s="200"/>
    </row>
    <row r="40" spans="1:22">
      <c r="A40" s="392" t="s">
        <v>104</v>
      </c>
      <c r="B40" s="195"/>
      <c r="C40" s="429">
        <f>'Variable &amp; Fixed'!G24</f>
        <v>0</v>
      </c>
      <c r="D40" s="428">
        <f t="shared" si="0"/>
        <v>0</v>
      </c>
      <c r="E40" s="429">
        <f t="shared" si="9"/>
        <v>0</v>
      </c>
      <c r="F40" s="402"/>
      <c r="G40" s="427">
        <f>'Variable &amp; Fixed'!L24</f>
        <v>0</v>
      </c>
      <c r="H40" s="431">
        <f t="shared" si="2"/>
        <v>0</v>
      </c>
      <c r="I40" s="427">
        <f t="shared" si="7"/>
        <v>0</v>
      </c>
      <c r="J40" s="402"/>
      <c r="K40" s="427">
        <f>'Variable &amp; Fixed'!R24</f>
        <v>0</v>
      </c>
      <c r="L40" s="431">
        <f t="shared" si="4"/>
        <v>0</v>
      </c>
      <c r="M40" s="432">
        <f t="shared" si="8"/>
        <v>0</v>
      </c>
      <c r="N40" s="205" t="e">
        <f>'Variable &amp; Fixed'!#REF!</f>
        <v>#REF!</v>
      </c>
      <c r="O40" s="202" t="e">
        <f t="shared" si="10"/>
        <v>#REF!</v>
      </c>
      <c r="P40" s="206" t="e">
        <f>'Variable &amp; Fixed'!#REF!</f>
        <v>#REF!</v>
      </c>
      <c r="Q40" s="202" t="e">
        <f t="shared" si="11"/>
        <v>#REF!</v>
      </c>
      <c r="R40" s="206" t="e">
        <f>'Variable &amp; Fixed'!#REF!</f>
        <v>#REF!</v>
      </c>
      <c r="S40" s="204" t="e">
        <f t="shared" si="12"/>
        <v>#REF!</v>
      </c>
      <c r="T40" s="200"/>
    </row>
    <row r="41" spans="1:22">
      <c r="A41" s="392" t="s">
        <v>105</v>
      </c>
      <c r="B41" s="195"/>
      <c r="C41" s="429">
        <f>'Variable &amp; Fixed'!G25</f>
        <v>0</v>
      </c>
      <c r="D41" s="428">
        <f t="shared" si="0"/>
        <v>0</v>
      </c>
      <c r="E41" s="429">
        <f t="shared" si="9"/>
        <v>0</v>
      </c>
      <c r="F41" s="402"/>
      <c r="G41" s="427">
        <f>'Variable &amp; Fixed'!L25</f>
        <v>0</v>
      </c>
      <c r="H41" s="431">
        <f t="shared" si="2"/>
        <v>0</v>
      </c>
      <c r="I41" s="427">
        <f t="shared" si="7"/>
        <v>0</v>
      </c>
      <c r="J41" s="402"/>
      <c r="K41" s="427">
        <f>'Variable &amp; Fixed'!R25</f>
        <v>0</v>
      </c>
      <c r="L41" s="431">
        <f t="shared" si="4"/>
        <v>0</v>
      </c>
      <c r="M41" s="432">
        <f t="shared" si="8"/>
        <v>0</v>
      </c>
      <c r="N41" s="205" t="e">
        <f>'Variable &amp; Fixed'!#REF!</f>
        <v>#REF!</v>
      </c>
      <c r="O41" s="202" t="e">
        <f t="shared" si="10"/>
        <v>#REF!</v>
      </c>
      <c r="P41" s="206" t="e">
        <f>'Variable &amp; Fixed'!#REF!</f>
        <v>#REF!</v>
      </c>
      <c r="Q41" s="202" t="e">
        <f t="shared" si="11"/>
        <v>#REF!</v>
      </c>
      <c r="R41" s="206" t="e">
        <f>'Variable &amp; Fixed'!#REF!</f>
        <v>#REF!</v>
      </c>
      <c r="S41" s="204" t="e">
        <f t="shared" si="12"/>
        <v>#REF!</v>
      </c>
      <c r="T41" s="200"/>
    </row>
    <row r="42" spans="1:22">
      <c r="A42" s="392" t="s">
        <v>106</v>
      </c>
      <c r="B42" s="195"/>
      <c r="C42" s="429"/>
      <c r="D42" s="428">
        <f t="shared" si="0"/>
        <v>0</v>
      </c>
      <c r="E42" s="429"/>
      <c r="F42" s="402"/>
      <c r="G42" s="427"/>
      <c r="H42" s="431">
        <f t="shared" si="2"/>
        <v>0</v>
      </c>
      <c r="I42" s="427"/>
      <c r="J42" s="402"/>
      <c r="K42" s="427"/>
      <c r="L42" s="431">
        <f t="shared" si="4"/>
        <v>0</v>
      </c>
      <c r="M42" s="432"/>
      <c r="N42" s="205" t="e">
        <f>'Variable &amp; Fixed'!#REF!</f>
        <v>#REF!</v>
      </c>
      <c r="O42" s="202" t="e">
        <f t="shared" si="10"/>
        <v>#REF!</v>
      </c>
      <c r="P42" s="206" t="e">
        <f>'Variable &amp; Fixed'!#REF!</f>
        <v>#REF!</v>
      </c>
      <c r="Q42" s="202" t="e">
        <f t="shared" si="11"/>
        <v>#REF!</v>
      </c>
      <c r="R42" s="206" t="e">
        <f>'Variable &amp; Fixed'!#REF!</f>
        <v>#REF!</v>
      </c>
      <c r="S42" s="204" t="e">
        <f t="shared" si="12"/>
        <v>#REF!</v>
      </c>
      <c r="T42" s="200"/>
      <c r="V42" s="369"/>
    </row>
    <row r="43" spans="1:22">
      <c r="A43" s="461" t="s">
        <v>125</v>
      </c>
      <c r="B43" s="207"/>
      <c r="C43" s="429">
        <f>'Variable &amp; Fixed'!G27</f>
        <v>0</v>
      </c>
      <c r="D43" s="428">
        <f t="shared" si="0"/>
        <v>0</v>
      </c>
      <c r="E43" s="429">
        <f>C43*$C$11</f>
        <v>0</v>
      </c>
      <c r="F43" s="402"/>
      <c r="G43" s="427">
        <f>'Variable &amp; Fixed'!L27</f>
        <v>0</v>
      </c>
      <c r="H43" s="431">
        <f t="shared" si="2"/>
        <v>0</v>
      </c>
      <c r="I43" s="427">
        <f t="shared" si="7"/>
        <v>0</v>
      </c>
      <c r="J43" s="402"/>
      <c r="K43" s="427">
        <f>'Variable &amp; Fixed'!R27</f>
        <v>0</v>
      </c>
      <c r="L43" s="431">
        <f t="shared" si="4"/>
        <v>0</v>
      </c>
      <c r="M43" s="432">
        <f t="shared" si="8"/>
        <v>0</v>
      </c>
      <c r="N43" s="205"/>
      <c r="O43" s="202"/>
      <c r="P43" s="206"/>
      <c r="Q43" s="202"/>
      <c r="R43" s="206"/>
      <c r="S43" s="204"/>
      <c r="T43" s="200"/>
      <c r="V43" s="369"/>
    </row>
    <row r="44" spans="1:22">
      <c r="A44" s="461" t="s">
        <v>126</v>
      </c>
      <c r="B44" s="207"/>
      <c r="C44" s="429">
        <f>'Variable &amp; Fixed'!G28</f>
        <v>0</v>
      </c>
      <c r="D44" s="428">
        <f t="shared" si="0"/>
        <v>0</v>
      </c>
      <c r="E44" s="429">
        <f>C44*$C$11</f>
        <v>0</v>
      </c>
      <c r="F44" s="323"/>
      <c r="G44" s="427">
        <f>'Variable &amp; Fixed'!L28</f>
        <v>0</v>
      </c>
      <c r="H44" s="431">
        <f t="shared" si="2"/>
        <v>0</v>
      </c>
      <c r="I44" s="427">
        <f t="shared" si="7"/>
        <v>0</v>
      </c>
      <c r="J44" s="323"/>
      <c r="K44" s="427">
        <f>'Variable &amp; Fixed'!R28</f>
        <v>0</v>
      </c>
      <c r="L44" s="431">
        <f t="shared" si="4"/>
        <v>0</v>
      </c>
      <c r="M44" s="432">
        <f t="shared" si="8"/>
        <v>0</v>
      </c>
      <c r="N44" s="205" t="e">
        <f>'Variable &amp; Fixed'!#REF!</f>
        <v>#REF!</v>
      </c>
      <c r="O44" s="202" t="e">
        <f>N44*$C$11</f>
        <v>#REF!</v>
      </c>
      <c r="P44" s="206" t="e">
        <f>'Variable &amp; Fixed'!#REF!</f>
        <v>#REF!</v>
      </c>
      <c r="Q44" s="202" t="e">
        <f>P44*$C$11</f>
        <v>#REF!</v>
      </c>
      <c r="R44" s="206" t="e">
        <f>'Variable &amp; Fixed'!#REF!</f>
        <v>#REF!</v>
      </c>
      <c r="S44" s="204" t="e">
        <f>R44*$C$11</f>
        <v>#REF!</v>
      </c>
      <c r="T44" s="200"/>
      <c r="V44" s="369"/>
    </row>
    <row r="45" spans="1:22">
      <c r="A45" s="392" t="s">
        <v>527</v>
      </c>
      <c r="B45" s="195"/>
      <c r="C45" s="429">
        <f>'Variable &amp; Fixed'!G29</f>
        <v>0</v>
      </c>
      <c r="D45" s="428">
        <f t="shared" si="0"/>
        <v>0</v>
      </c>
      <c r="E45" s="429">
        <f t="shared" ref="E45" si="13">C45*$C$11</f>
        <v>0</v>
      </c>
      <c r="F45" s="323"/>
      <c r="G45" s="427">
        <f>'Variable &amp; Fixed'!L29</f>
        <v>0</v>
      </c>
      <c r="H45" s="431">
        <f t="shared" si="2"/>
        <v>0</v>
      </c>
      <c r="I45" s="427">
        <f t="shared" si="7"/>
        <v>0</v>
      </c>
      <c r="J45" s="323"/>
      <c r="K45" s="427">
        <f>'Variable &amp; Fixed'!R29</f>
        <v>0</v>
      </c>
      <c r="L45" s="431">
        <f t="shared" si="4"/>
        <v>0</v>
      </c>
      <c r="M45" s="432">
        <f t="shared" si="8"/>
        <v>0</v>
      </c>
      <c r="N45" s="205"/>
      <c r="O45" s="202"/>
      <c r="P45" s="206"/>
      <c r="Q45" s="202"/>
      <c r="R45" s="206"/>
      <c r="S45" s="204"/>
      <c r="T45" s="200"/>
    </row>
    <row r="46" spans="1:22">
      <c r="A46" s="392" t="s">
        <v>525</v>
      </c>
      <c r="B46" s="2"/>
      <c r="C46" s="427">
        <f>'Variable &amp; Fixed'!G30</f>
        <v>0</v>
      </c>
      <c r="D46" s="428">
        <f>C46</f>
        <v>0</v>
      </c>
      <c r="E46" s="427">
        <f>C46*$C$11</f>
        <v>0</v>
      </c>
      <c r="F46" s="323"/>
      <c r="G46" s="427">
        <f>'Variable &amp; Fixed'!L30</f>
        <v>0</v>
      </c>
      <c r="H46" s="431">
        <f>G46</f>
        <v>0</v>
      </c>
      <c r="I46" s="427">
        <f>G46*$G$11</f>
        <v>0</v>
      </c>
      <c r="J46" s="323"/>
      <c r="K46" s="427">
        <f>'Variable &amp; Fixed'!R30</f>
        <v>0</v>
      </c>
      <c r="L46" s="431">
        <f>K46</f>
        <v>0</v>
      </c>
      <c r="M46" s="432">
        <f>K46*$K$11</f>
        <v>0</v>
      </c>
      <c r="N46" s="205"/>
      <c r="O46" s="202"/>
      <c r="P46" s="206"/>
      <c r="Q46" s="202"/>
      <c r="R46" s="206"/>
      <c r="S46" s="204"/>
      <c r="T46" s="200"/>
    </row>
    <row r="47" spans="1:22">
      <c r="A47" s="392" t="s">
        <v>659</v>
      </c>
      <c r="B47" s="195"/>
      <c r="C47" s="427">
        <f>'Loans &amp; Financing'!T10</f>
        <v>0</v>
      </c>
      <c r="D47" s="428">
        <f>C47</f>
        <v>0</v>
      </c>
      <c r="E47" s="427">
        <f>C47*$C$11</f>
        <v>0</v>
      </c>
      <c r="F47" s="402"/>
      <c r="G47" s="427">
        <f>'Loans &amp; Financing'!U10</f>
        <v>0</v>
      </c>
      <c r="H47" s="431">
        <f>G47</f>
        <v>0</v>
      </c>
      <c r="I47" s="427">
        <f>G47*$G$11</f>
        <v>0</v>
      </c>
      <c r="J47" s="402"/>
      <c r="K47" s="430">
        <f>'Loans &amp; Financing'!V10</f>
        <v>0</v>
      </c>
      <c r="L47" s="431">
        <f>K47</f>
        <v>0</v>
      </c>
      <c r="M47" s="432">
        <f>K47*$K$11</f>
        <v>0</v>
      </c>
      <c r="N47" s="205"/>
      <c r="O47" s="202"/>
      <c r="P47" s="206"/>
      <c r="Q47" s="202"/>
      <c r="R47" s="206"/>
      <c r="S47" s="204"/>
      <c r="T47" s="200"/>
    </row>
    <row r="48" spans="1:22">
      <c r="A48" s="457" t="s">
        <v>526</v>
      </c>
      <c r="B48" s="195"/>
      <c r="C48" s="427">
        <f>'Variable &amp; Fixed'!G31</f>
        <v>0</v>
      </c>
      <c r="D48" s="428">
        <f>C48</f>
        <v>0</v>
      </c>
      <c r="E48" s="427">
        <f>C48*$C$11</f>
        <v>0</v>
      </c>
      <c r="F48" s="402"/>
      <c r="G48" s="427">
        <f>'Variable &amp; Fixed'!L31</f>
        <v>0</v>
      </c>
      <c r="H48" s="431">
        <f>G48</f>
        <v>0</v>
      </c>
      <c r="I48" s="427">
        <f>G48*$G$11</f>
        <v>0</v>
      </c>
      <c r="J48" s="402"/>
      <c r="K48" s="430">
        <f>'Variable &amp; Fixed'!R31</f>
        <v>0</v>
      </c>
      <c r="L48" s="431">
        <f>K48</f>
        <v>0</v>
      </c>
      <c r="M48" s="432">
        <f>K48*$K$11</f>
        <v>0</v>
      </c>
      <c r="N48" s="205"/>
      <c r="O48" s="202"/>
      <c r="P48" s="206"/>
      <c r="Q48" s="202"/>
      <c r="R48" s="206"/>
      <c r="S48" s="204"/>
      <c r="T48" s="200"/>
      <c r="V48" s="369"/>
    </row>
    <row r="49" spans="1:22" ht="18.600000000000001" thickBot="1">
      <c r="A49" s="459" t="s">
        <v>655</v>
      </c>
      <c r="B49" s="155"/>
      <c r="C49" s="433">
        <f>SUM(C20:C48)</f>
        <v>0</v>
      </c>
      <c r="D49" s="434"/>
      <c r="E49" s="435">
        <f>SUM(E20:E48)</f>
        <v>0</v>
      </c>
      <c r="F49" s="436"/>
      <c r="G49" s="437">
        <f>SUM(G20:G48)</f>
        <v>0</v>
      </c>
      <c r="H49" s="417"/>
      <c r="I49" s="438">
        <f>SUM(I20:I48)</f>
        <v>0</v>
      </c>
      <c r="J49" s="436"/>
      <c r="K49" s="437">
        <f>SUM(K20:K48)</f>
        <v>0</v>
      </c>
      <c r="L49" s="417"/>
      <c r="M49" s="439">
        <f>SUM(M20:M48)</f>
        <v>0</v>
      </c>
      <c r="N49" s="205"/>
      <c r="O49" s="202"/>
      <c r="P49" s="206"/>
      <c r="Q49" s="202"/>
      <c r="R49" s="206"/>
      <c r="S49" s="204"/>
      <c r="T49" s="200"/>
      <c r="V49" s="369"/>
    </row>
    <row r="50" spans="1:22" ht="18.600000000000001" thickTop="1">
      <c r="A50" s="593" t="s">
        <v>735</v>
      </c>
      <c r="B50" s="343"/>
      <c r="C50" s="440">
        <f>C16-C49</f>
        <v>0</v>
      </c>
      <c r="D50" s="441"/>
      <c r="E50" s="440">
        <f>C50*C11</f>
        <v>0</v>
      </c>
      <c r="F50" s="442"/>
      <c r="G50" s="440">
        <f>G16-G49</f>
        <v>0</v>
      </c>
      <c r="H50" s="441"/>
      <c r="I50" s="440">
        <f>G50*G11</f>
        <v>0</v>
      </c>
      <c r="J50" s="442"/>
      <c r="K50" s="440">
        <f>K16-K49</f>
        <v>0</v>
      </c>
      <c r="L50" s="441"/>
      <c r="M50" s="443">
        <f>K50*K11</f>
        <v>0</v>
      </c>
      <c r="N50" s="205"/>
      <c r="O50" s="202"/>
      <c r="P50" s="206"/>
      <c r="Q50" s="202"/>
      <c r="R50" s="206"/>
      <c r="S50" s="204"/>
      <c r="T50" s="200"/>
      <c r="V50" s="369"/>
    </row>
    <row r="51" spans="1:22">
      <c r="A51" s="595" t="s">
        <v>736</v>
      </c>
      <c r="B51" s="61"/>
      <c r="C51" s="444"/>
      <c r="D51" s="445"/>
      <c r="E51" s="403"/>
      <c r="F51" s="402"/>
      <c r="G51" s="444"/>
      <c r="H51" s="405"/>
      <c r="I51" s="403"/>
      <c r="J51" s="402"/>
      <c r="K51" s="444"/>
      <c r="L51" s="405"/>
      <c r="M51" s="400"/>
      <c r="N51" s="201"/>
      <c r="O51" s="202"/>
      <c r="P51" s="203"/>
      <c r="Q51" s="202"/>
      <c r="R51" s="203"/>
      <c r="S51" s="204"/>
    </row>
    <row r="52" spans="1:22">
      <c r="A52" s="455" t="s">
        <v>656</v>
      </c>
      <c r="B52" s="131"/>
      <c r="C52" s="423" t="s">
        <v>77</v>
      </c>
      <c r="D52" s="424"/>
      <c r="E52" s="425" t="s">
        <v>471</v>
      </c>
      <c r="F52" s="413"/>
      <c r="G52" s="423" t="s">
        <v>77</v>
      </c>
      <c r="H52" s="424"/>
      <c r="I52" s="425" t="s">
        <v>471</v>
      </c>
      <c r="J52" s="413"/>
      <c r="K52" s="423" t="s">
        <v>77</v>
      </c>
      <c r="L52" s="424"/>
      <c r="M52" s="426" t="s">
        <v>471</v>
      </c>
      <c r="N52" s="205" t="e">
        <f>'Variable &amp; Fixed'!#REF!</f>
        <v>#REF!</v>
      </c>
      <c r="O52" s="202" t="e">
        <f>N52*$C$11</f>
        <v>#REF!</v>
      </c>
      <c r="P52" s="206" t="e">
        <f>'Variable &amp; Fixed'!#REF!</f>
        <v>#REF!</v>
      </c>
      <c r="Q52" s="202" t="e">
        <f>P52*$C$11</f>
        <v>#REF!</v>
      </c>
      <c r="R52" s="206" t="e">
        <f>'Variable &amp; Fixed'!#REF!</f>
        <v>#REF!</v>
      </c>
      <c r="S52" s="204" t="e">
        <f>R52*$C$11</f>
        <v>#REF!</v>
      </c>
      <c r="T52" s="200"/>
    </row>
    <row r="53" spans="1:22">
      <c r="A53" s="456" t="s">
        <v>422</v>
      </c>
      <c r="B53" s="2"/>
      <c r="C53" s="446">
        <f>'Variable &amp; Fixed'!G35</f>
        <v>0</v>
      </c>
      <c r="D53" s="431">
        <f t="shared" ref="D53:D57" si="14">C53</f>
        <v>0</v>
      </c>
      <c r="E53" s="446">
        <f t="shared" ref="E53" si="15">C53*$C$11</f>
        <v>0</v>
      </c>
      <c r="F53" s="402"/>
      <c r="G53" s="446">
        <f>'Variable &amp; Fixed'!L35</f>
        <v>0</v>
      </c>
      <c r="H53" s="431">
        <f t="shared" ref="H53:H57" si="16">G53</f>
        <v>0</v>
      </c>
      <c r="I53" s="446">
        <f>G53*$G$11</f>
        <v>0</v>
      </c>
      <c r="J53" s="402"/>
      <c r="K53" s="446">
        <f>'Variable &amp; Fixed'!R35</f>
        <v>0</v>
      </c>
      <c r="L53" s="431">
        <f t="shared" ref="L53:L57" si="17">K53</f>
        <v>0</v>
      </c>
      <c r="M53" s="432">
        <f t="shared" si="8"/>
        <v>0</v>
      </c>
      <c r="N53" s="205" t="e">
        <f>'Variable &amp; Fixed'!#REF!</f>
        <v>#REF!</v>
      </c>
      <c r="O53" s="202" t="e">
        <f>N53*$C$11</f>
        <v>#REF!</v>
      </c>
      <c r="P53" s="206" t="e">
        <f>'Variable &amp; Fixed'!#REF!</f>
        <v>#REF!</v>
      </c>
      <c r="Q53" s="202" t="e">
        <f>P53*$C$11</f>
        <v>#REF!</v>
      </c>
      <c r="R53" s="206" t="e">
        <f>'Variable &amp; Fixed'!#REF!</f>
        <v>#REF!</v>
      </c>
      <c r="S53" s="204" t="e">
        <f>R53*$C$11</f>
        <v>#REF!</v>
      </c>
      <c r="T53" s="200"/>
    </row>
    <row r="54" spans="1:22">
      <c r="A54" s="392" t="s">
        <v>536</v>
      </c>
      <c r="B54" s="2"/>
      <c r="C54" s="427">
        <f>'Variable &amp; Fixed'!G36</f>
        <v>0</v>
      </c>
      <c r="D54" s="431">
        <f t="shared" si="14"/>
        <v>0</v>
      </c>
      <c r="E54" s="427">
        <f>C54*$C$11</f>
        <v>0</v>
      </c>
      <c r="F54" s="402"/>
      <c r="G54" s="427">
        <f>'Variable &amp; Fixed'!L36</f>
        <v>0</v>
      </c>
      <c r="H54" s="431">
        <f t="shared" si="16"/>
        <v>0</v>
      </c>
      <c r="I54" s="427">
        <f>G54*$G$11</f>
        <v>0</v>
      </c>
      <c r="J54" s="402"/>
      <c r="K54" s="427">
        <f>'Variable &amp; Fixed'!R36</f>
        <v>0</v>
      </c>
      <c r="L54" s="431">
        <f t="shared" si="17"/>
        <v>0</v>
      </c>
      <c r="M54" s="432">
        <f>K54*$K$11</f>
        <v>0</v>
      </c>
      <c r="N54" s="201"/>
      <c r="O54" s="202"/>
      <c r="P54" s="203"/>
      <c r="Q54" s="202"/>
      <c r="R54" s="203"/>
      <c r="S54" s="204"/>
      <c r="V54" s="369"/>
    </row>
    <row r="55" spans="1:22">
      <c r="A55" s="392" t="s">
        <v>297</v>
      </c>
      <c r="B55" s="195"/>
      <c r="C55" s="429">
        <f>'Variable &amp; Fixed'!G37</f>
        <v>0</v>
      </c>
      <c r="D55" s="431">
        <f t="shared" si="14"/>
        <v>0</v>
      </c>
      <c r="E55" s="429">
        <f>C55*$C$11</f>
        <v>0</v>
      </c>
      <c r="F55" s="402"/>
      <c r="G55" s="427">
        <f>'Variable &amp; Fixed'!L37</f>
        <v>0</v>
      </c>
      <c r="H55" s="431">
        <f t="shared" si="16"/>
        <v>0</v>
      </c>
      <c r="I55" s="427">
        <f>G55*$G$11</f>
        <v>0</v>
      </c>
      <c r="J55" s="402"/>
      <c r="K55" s="427">
        <f>'Variable &amp; Fixed'!R37</f>
        <v>0</v>
      </c>
      <c r="L55" s="431">
        <f t="shared" si="17"/>
        <v>0</v>
      </c>
      <c r="M55" s="432">
        <f>K55*$K$11</f>
        <v>0</v>
      </c>
      <c r="N55" s="209"/>
      <c r="O55" s="210"/>
      <c r="P55" s="209"/>
      <c r="Q55" s="210"/>
      <c r="R55" s="209"/>
      <c r="S55" s="211"/>
      <c r="V55" s="369"/>
    </row>
    <row r="56" spans="1:22">
      <c r="A56" s="392" t="s">
        <v>658</v>
      </c>
      <c r="B56" s="2"/>
      <c r="C56" s="427">
        <f>'Capital &amp; Opportunity'!C12</f>
        <v>0</v>
      </c>
      <c r="D56" s="431">
        <f t="shared" si="14"/>
        <v>0</v>
      </c>
      <c r="E56" s="427">
        <f>C56*$C$11</f>
        <v>0</v>
      </c>
      <c r="F56" s="402"/>
      <c r="G56" s="427">
        <f>'Capital &amp; Opportunity'!D12</f>
        <v>0</v>
      </c>
      <c r="H56" s="431">
        <f t="shared" si="16"/>
        <v>0</v>
      </c>
      <c r="I56" s="427">
        <f>G56*$G$11</f>
        <v>0</v>
      </c>
      <c r="J56" s="402"/>
      <c r="K56" s="427">
        <f>'Capital &amp; Opportunity'!E12</f>
        <v>0</v>
      </c>
      <c r="L56" s="431">
        <f t="shared" si="17"/>
        <v>0</v>
      </c>
      <c r="M56" s="432">
        <f>K56*$K$11</f>
        <v>0</v>
      </c>
      <c r="N56" s="209"/>
      <c r="O56" s="210"/>
      <c r="P56" s="209"/>
      <c r="Q56" s="210"/>
      <c r="R56" s="209"/>
      <c r="S56" s="211"/>
      <c r="V56" s="369"/>
    </row>
    <row r="57" spans="1:22">
      <c r="A57" s="457" t="s">
        <v>526</v>
      </c>
      <c r="B57" s="2"/>
      <c r="C57" s="429">
        <f>'Variable &amp; Fixed'!G38</f>
        <v>0</v>
      </c>
      <c r="D57" s="431">
        <f t="shared" si="14"/>
        <v>0</v>
      </c>
      <c r="E57" s="429">
        <f>C57*$C$11</f>
        <v>0</v>
      </c>
      <c r="F57" s="402"/>
      <c r="G57" s="427">
        <f>'Variable &amp; Fixed'!L38</f>
        <v>0</v>
      </c>
      <c r="H57" s="431">
        <f t="shared" si="16"/>
        <v>0</v>
      </c>
      <c r="I57" s="427">
        <f>G57*$G$11</f>
        <v>0</v>
      </c>
      <c r="J57" s="402"/>
      <c r="K57" s="427">
        <f>'Variable &amp; Fixed'!R38</f>
        <v>0</v>
      </c>
      <c r="L57" s="431">
        <f t="shared" si="17"/>
        <v>0</v>
      </c>
      <c r="M57" s="432">
        <f>K57*$K$11</f>
        <v>0</v>
      </c>
      <c r="N57" s="209"/>
      <c r="O57" s="210"/>
      <c r="P57" s="209"/>
      <c r="Q57" s="210"/>
      <c r="R57" s="209"/>
      <c r="S57" s="211"/>
    </row>
    <row r="58" spans="1:22">
      <c r="A58" s="458" t="s">
        <v>653</v>
      </c>
      <c r="B58" s="155"/>
      <c r="C58" s="447">
        <f>SUM(C53:C57)</f>
        <v>0</v>
      </c>
      <c r="D58" s="448"/>
      <c r="E58" s="447">
        <f>SUM(E53:E57)</f>
        <v>0</v>
      </c>
      <c r="F58" s="436"/>
      <c r="G58" s="447">
        <f>SUM(G53:G57)</f>
        <v>0</v>
      </c>
      <c r="H58" s="448"/>
      <c r="I58" s="447">
        <f>SUM(I53:I57)</f>
        <v>0</v>
      </c>
      <c r="J58" s="436"/>
      <c r="K58" s="447">
        <f>SUM(K53:K57)</f>
        <v>0</v>
      </c>
      <c r="L58" s="448"/>
      <c r="M58" s="449">
        <f>SUM(M53:M57)</f>
        <v>0</v>
      </c>
      <c r="N58" s="201"/>
      <c r="O58" s="202"/>
      <c r="P58" s="203"/>
      <c r="Q58" s="202"/>
      <c r="R58" s="203"/>
      <c r="S58" s="204"/>
    </row>
    <row r="59" spans="1:22" ht="18.600000000000001" thickBot="1">
      <c r="A59" s="459" t="s">
        <v>654</v>
      </c>
      <c r="B59" s="155"/>
      <c r="C59" s="450">
        <f>C49+C58</f>
        <v>0</v>
      </c>
      <c r="D59" s="417"/>
      <c r="E59" s="450">
        <f>E49+E58</f>
        <v>0</v>
      </c>
      <c r="F59" s="436"/>
      <c r="G59" s="450">
        <f>G49+G58</f>
        <v>0</v>
      </c>
      <c r="H59" s="417"/>
      <c r="I59" s="450">
        <f>I49+I58</f>
        <v>0</v>
      </c>
      <c r="J59" s="436"/>
      <c r="K59" s="450">
        <f>K49+K58</f>
        <v>0</v>
      </c>
      <c r="L59" s="417"/>
      <c r="M59" s="451">
        <f>M49+M58</f>
        <v>0</v>
      </c>
      <c r="N59" s="201"/>
      <c r="O59" s="202"/>
      <c r="P59" s="203"/>
      <c r="Q59" s="202"/>
      <c r="R59" s="203"/>
      <c r="S59" s="204"/>
    </row>
    <row r="60" spans="1:22" ht="18.600000000000001" thickTop="1">
      <c r="A60" s="592" t="s">
        <v>730</v>
      </c>
      <c r="B60" s="344"/>
      <c r="C60" s="452">
        <f>C16-C59</f>
        <v>0</v>
      </c>
      <c r="D60" s="452"/>
      <c r="E60" s="452">
        <f>C60*C11</f>
        <v>0</v>
      </c>
      <c r="F60" s="453"/>
      <c r="G60" s="452">
        <f>G16-G59</f>
        <v>0</v>
      </c>
      <c r="H60" s="452"/>
      <c r="I60" s="452">
        <f>G60*G11</f>
        <v>0</v>
      </c>
      <c r="J60" s="453"/>
      <c r="K60" s="452">
        <f>K16-K59</f>
        <v>0</v>
      </c>
      <c r="L60" s="452"/>
      <c r="M60" s="454">
        <f>K60*K11</f>
        <v>0</v>
      </c>
      <c r="N60" s="209"/>
      <c r="O60" s="210"/>
      <c r="P60" s="209"/>
      <c r="Q60" s="210"/>
      <c r="R60" s="209"/>
      <c r="S60" s="210"/>
      <c r="V60" s="369"/>
    </row>
    <row r="61" spans="1:22" ht="18.600000000000001" thickBot="1">
      <c r="A61" s="594" t="s">
        <v>731</v>
      </c>
      <c r="B61" s="150"/>
      <c r="C61" s="340"/>
      <c r="D61" s="232"/>
      <c r="E61" s="341"/>
      <c r="F61" s="231"/>
      <c r="G61" s="340"/>
      <c r="H61" s="232"/>
      <c r="I61" s="341"/>
      <c r="J61" s="231"/>
      <c r="K61" s="340"/>
      <c r="L61" s="232"/>
      <c r="M61" s="342"/>
      <c r="N61" s="209"/>
      <c r="O61" s="210"/>
      <c r="P61" s="209"/>
      <c r="Q61" s="210"/>
      <c r="R61" s="209"/>
      <c r="S61" s="210"/>
      <c r="V61" s="369"/>
    </row>
    <row r="62" spans="1:22">
      <c r="A62" s="869" t="s">
        <v>574</v>
      </c>
      <c r="B62" s="870"/>
      <c r="C62" s="870"/>
      <c r="D62" s="870"/>
      <c r="E62" s="870"/>
      <c r="F62" s="870"/>
      <c r="G62" s="870"/>
      <c r="H62" s="870"/>
      <c r="I62" s="870"/>
      <c r="J62" s="870"/>
      <c r="K62" s="870"/>
      <c r="L62" s="870"/>
      <c r="M62" s="871"/>
      <c r="V62" s="369"/>
    </row>
    <row r="63" spans="1:22">
      <c r="A63" s="455" t="s">
        <v>670</v>
      </c>
      <c r="B63" s="131"/>
      <c r="C63" s="423" t="s">
        <v>77</v>
      </c>
      <c r="D63" s="424"/>
      <c r="E63" s="425" t="s">
        <v>471</v>
      </c>
      <c r="F63" s="413"/>
      <c r="G63" s="423" t="s">
        <v>77</v>
      </c>
      <c r="H63" s="424"/>
      <c r="I63" s="425" t="s">
        <v>471</v>
      </c>
      <c r="J63" s="413"/>
      <c r="K63" s="423" t="s">
        <v>77</v>
      </c>
      <c r="L63" s="424"/>
      <c r="M63" s="426" t="s">
        <v>471</v>
      </c>
      <c r="N63" s="201"/>
      <c r="O63" s="202"/>
      <c r="P63" s="203"/>
      <c r="Q63" s="202"/>
      <c r="R63" s="203"/>
      <c r="S63" s="204"/>
    </row>
    <row r="64" spans="1:22">
      <c r="A64" s="392" t="s">
        <v>469</v>
      </c>
      <c r="B64" s="195"/>
      <c r="C64" s="446">
        <f>'Capital &amp; Opportunity'!C13</f>
        <v>0</v>
      </c>
      <c r="D64" s="430">
        <f t="shared" ref="D64:D67" si="18">C64</f>
        <v>0</v>
      </c>
      <c r="E64" s="446">
        <f>C64*$C$11</f>
        <v>0</v>
      </c>
      <c r="F64" s="402"/>
      <c r="G64" s="446">
        <f>'Capital &amp; Opportunity'!D13</f>
        <v>0</v>
      </c>
      <c r="H64" s="431">
        <f t="shared" ref="H64:H67" si="19">G64</f>
        <v>0</v>
      </c>
      <c r="I64" s="446">
        <f>G64*$G$11</f>
        <v>0</v>
      </c>
      <c r="J64" s="402"/>
      <c r="K64" s="446">
        <f>'Capital &amp; Opportunity'!E13</f>
        <v>0</v>
      </c>
      <c r="L64" s="431">
        <f t="shared" ref="L64:L67" si="20">K64</f>
        <v>0</v>
      </c>
      <c r="M64" s="432">
        <f>K64*$K$11</f>
        <v>0</v>
      </c>
      <c r="N64" s="212">
        <v>0</v>
      </c>
      <c r="O64" s="202">
        <v>0</v>
      </c>
      <c r="P64" s="213">
        <v>0</v>
      </c>
      <c r="Q64" s="202">
        <v>0</v>
      </c>
      <c r="R64" s="213">
        <v>0</v>
      </c>
      <c r="S64" s="204">
        <v>0</v>
      </c>
      <c r="T64" s="200"/>
    </row>
    <row r="65" spans="1:20">
      <c r="A65" s="392" t="s">
        <v>660</v>
      </c>
      <c r="B65" s="195"/>
      <c r="C65" s="427">
        <f>'Capital &amp; Opportunity'!C14</f>
        <v>0</v>
      </c>
      <c r="D65" s="430">
        <f t="shared" si="18"/>
        <v>0</v>
      </c>
      <c r="E65" s="427">
        <f>C65*$C$11</f>
        <v>0</v>
      </c>
      <c r="F65" s="402"/>
      <c r="G65" s="427">
        <f>'Capital &amp; Opportunity'!D14</f>
        <v>0</v>
      </c>
      <c r="H65" s="431">
        <f t="shared" si="19"/>
        <v>0</v>
      </c>
      <c r="I65" s="427">
        <f>G65*$G$11</f>
        <v>0</v>
      </c>
      <c r="J65" s="402"/>
      <c r="K65" s="427">
        <f>'Capital &amp; Opportunity'!E14</f>
        <v>0</v>
      </c>
      <c r="L65" s="431">
        <f t="shared" si="20"/>
        <v>0</v>
      </c>
      <c r="M65" s="432">
        <f>K65*$K$11</f>
        <v>0</v>
      </c>
      <c r="N65" s="212"/>
      <c r="O65" s="202"/>
      <c r="P65" s="213"/>
      <c r="Q65" s="202"/>
      <c r="R65" s="213"/>
      <c r="S65" s="204"/>
      <c r="T65" s="200"/>
    </row>
    <row r="66" spans="1:20">
      <c r="A66" s="392" t="s">
        <v>661</v>
      </c>
      <c r="B66" s="2"/>
      <c r="C66" s="427">
        <f>'Loans &amp; Financing'!T11+'Loans &amp; Financing'!T12</f>
        <v>0</v>
      </c>
      <c r="D66" s="430">
        <f t="shared" si="18"/>
        <v>0</v>
      </c>
      <c r="E66" s="427">
        <f>C66*$C$11</f>
        <v>0</v>
      </c>
      <c r="F66" s="402"/>
      <c r="G66" s="427">
        <f>'Loans &amp; Financing'!U11+'Loans &amp; Financing'!U12</f>
        <v>0</v>
      </c>
      <c r="H66" s="431">
        <f t="shared" si="19"/>
        <v>0</v>
      </c>
      <c r="I66" s="427">
        <f>G66*$G$11</f>
        <v>0</v>
      </c>
      <c r="J66" s="402"/>
      <c r="K66" s="427">
        <f>'Loans &amp; Financing'!V11+'Loans &amp; Financing'!V12</f>
        <v>0</v>
      </c>
      <c r="L66" s="431">
        <f t="shared" si="20"/>
        <v>0</v>
      </c>
      <c r="M66" s="432">
        <f>K66*$K$11</f>
        <v>0</v>
      </c>
      <c r="N66" s="212"/>
      <c r="O66" s="202"/>
      <c r="P66" s="213"/>
      <c r="Q66" s="202"/>
      <c r="R66" s="213"/>
      <c r="S66" s="204"/>
      <c r="T66" s="200"/>
    </row>
    <row r="67" spans="1:20">
      <c r="A67" s="392" t="s">
        <v>470</v>
      </c>
      <c r="B67" s="2"/>
      <c r="C67" s="427">
        <f>'Loans &amp; Financing'!T14+'Loans &amp; Financing'!T15</f>
        <v>0</v>
      </c>
      <c r="D67" s="430">
        <f t="shared" si="18"/>
        <v>0</v>
      </c>
      <c r="E67" s="427">
        <f>C67*$C$11</f>
        <v>0</v>
      </c>
      <c r="F67" s="402"/>
      <c r="G67" s="427">
        <f>'Loans &amp; Financing'!U14+'Loans &amp; Financing'!U15</f>
        <v>0</v>
      </c>
      <c r="H67" s="431">
        <f t="shared" si="19"/>
        <v>0</v>
      </c>
      <c r="I67" s="427">
        <f>G67*$G$11</f>
        <v>0</v>
      </c>
      <c r="J67" s="402"/>
      <c r="K67" s="427">
        <f>'Loans &amp; Financing'!V14+'Loans &amp; Financing'!V15</f>
        <v>0</v>
      </c>
      <c r="L67" s="431">
        <f t="shared" si="20"/>
        <v>0</v>
      </c>
      <c r="M67" s="432">
        <f>K67*$K$11</f>
        <v>0</v>
      </c>
      <c r="N67" s="201"/>
      <c r="O67" s="202"/>
      <c r="P67" s="203"/>
      <c r="Q67" s="202"/>
      <c r="R67" s="203"/>
      <c r="S67" s="204"/>
    </row>
    <row r="68" spans="1:20">
      <c r="A68" s="463" t="s">
        <v>671</v>
      </c>
      <c r="B68" s="155"/>
      <c r="C68" s="465">
        <f>SUM(C64:C67)</f>
        <v>0</v>
      </c>
      <c r="D68" s="466"/>
      <c r="E68" s="465">
        <f>SUM(E64:E67)</f>
        <v>0</v>
      </c>
      <c r="F68" s="436"/>
      <c r="G68" s="465">
        <f>SUM(G64:G67)</f>
        <v>0</v>
      </c>
      <c r="H68" s="466"/>
      <c r="I68" s="465">
        <f>SUM(I64:I67)</f>
        <v>0</v>
      </c>
      <c r="J68" s="436"/>
      <c r="K68" s="465">
        <f>SUM(K64:K67)</f>
        <v>0</v>
      </c>
      <c r="L68" s="466"/>
      <c r="M68" s="467">
        <f>SUM(M64:M67)</f>
        <v>0</v>
      </c>
      <c r="N68" s="209"/>
      <c r="O68" s="210"/>
      <c r="P68" s="209"/>
      <c r="Q68" s="210"/>
      <c r="R68" s="209"/>
      <c r="S68" s="211"/>
    </row>
    <row r="69" spans="1:20" ht="18.600000000000001" thickBot="1">
      <c r="A69" s="464" t="s">
        <v>672</v>
      </c>
      <c r="B69" s="155"/>
      <c r="C69" s="450">
        <f>C68+C59</f>
        <v>0</v>
      </c>
      <c r="D69" s="468"/>
      <c r="E69" s="450">
        <f>C69*C11</f>
        <v>0</v>
      </c>
      <c r="F69" s="466"/>
      <c r="G69" s="450">
        <f>G68+G59</f>
        <v>0</v>
      </c>
      <c r="H69" s="468"/>
      <c r="I69" s="450">
        <f>G69*G11</f>
        <v>0</v>
      </c>
      <c r="J69" s="466"/>
      <c r="K69" s="450">
        <f>K68+K59</f>
        <v>0</v>
      </c>
      <c r="L69" s="468"/>
      <c r="M69" s="451">
        <f>K69*K11</f>
        <v>0</v>
      </c>
      <c r="N69" s="209"/>
      <c r="O69" s="210"/>
      <c r="P69" s="209"/>
      <c r="Q69" s="210"/>
      <c r="R69" s="209"/>
      <c r="S69" s="211"/>
    </row>
    <row r="70" spans="1:20" ht="18.600000000000001" thickTop="1">
      <c r="A70" s="591" t="s">
        <v>583</v>
      </c>
      <c r="B70" s="345"/>
      <c r="C70" s="452">
        <f>(C16-C69)+C56</f>
        <v>0</v>
      </c>
      <c r="D70" s="452"/>
      <c r="E70" s="452">
        <f>C70*C11</f>
        <v>0</v>
      </c>
      <c r="F70" s="469"/>
      <c r="G70" s="789">
        <f>(G16-G69)+G56</f>
        <v>0</v>
      </c>
      <c r="H70" s="452"/>
      <c r="I70" s="452">
        <f>G70*G11</f>
        <v>0</v>
      </c>
      <c r="J70" s="469"/>
      <c r="K70" s="452">
        <f>(K16-K69)+K56</f>
        <v>0</v>
      </c>
      <c r="L70" s="452"/>
      <c r="M70" s="454">
        <f>K70*K11</f>
        <v>0</v>
      </c>
      <c r="N70" s="209"/>
      <c r="O70" s="210"/>
      <c r="P70" s="209"/>
      <c r="Q70" s="210"/>
      <c r="R70" s="209"/>
      <c r="S70" s="211"/>
    </row>
    <row r="71" spans="1:20" ht="16.5" customHeight="1" thickBot="1">
      <c r="A71" s="765" t="s">
        <v>729</v>
      </c>
      <c r="B71" s="766"/>
      <c r="C71" s="767"/>
      <c r="D71" s="768"/>
      <c r="E71" s="769"/>
      <c r="F71" s="768"/>
      <c r="G71" s="767"/>
      <c r="H71" s="768"/>
      <c r="I71" s="769"/>
      <c r="J71" s="768"/>
      <c r="K71" s="767"/>
      <c r="L71" s="768"/>
      <c r="M71" s="770"/>
      <c r="N71" s="209"/>
      <c r="O71" s="210"/>
      <c r="P71" s="209"/>
      <c r="Q71" s="210"/>
      <c r="R71" s="209"/>
      <c r="S71" s="211"/>
    </row>
    <row r="72" spans="1:20" ht="16.5" hidden="1" customHeight="1" thickBot="1">
      <c r="A72" s="874" t="s">
        <v>573</v>
      </c>
      <c r="B72" s="875"/>
      <c r="C72" s="875"/>
      <c r="D72" s="875"/>
      <c r="E72" s="875"/>
      <c r="F72" s="875"/>
      <c r="G72" s="875"/>
      <c r="H72" s="875"/>
      <c r="I72" s="875"/>
      <c r="J72" s="875"/>
      <c r="K72" s="875"/>
      <c r="L72" s="875"/>
      <c r="M72" s="876"/>
      <c r="N72" s="209"/>
      <c r="O72" s="210"/>
      <c r="P72" s="209"/>
      <c r="Q72" s="210"/>
      <c r="R72" s="209"/>
      <c r="S72" s="211"/>
    </row>
    <row r="73" spans="1:20" ht="16.5" hidden="1" customHeight="1">
      <c r="A73" s="299" t="s">
        <v>545</v>
      </c>
      <c r="B73" s="131"/>
      <c r="C73" s="223" t="s">
        <v>77</v>
      </c>
      <c r="D73" s="224"/>
      <c r="E73" s="225" t="s">
        <v>471</v>
      </c>
      <c r="F73" s="74"/>
      <c r="G73" s="223" t="s">
        <v>77</v>
      </c>
      <c r="H73" s="224"/>
      <c r="I73" s="225" t="s">
        <v>471</v>
      </c>
      <c r="J73" s="74"/>
      <c r="K73" s="223" t="s">
        <v>77</v>
      </c>
      <c r="L73" s="224"/>
      <c r="M73" s="226" t="s">
        <v>471</v>
      </c>
      <c r="N73" s="209"/>
      <c r="O73" s="210"/>
      <c r="P73" s="209"/>
      <c r="Q73" s="210"/>
      <c r="R73" s="209"/>
      <c r="S73" s="211"/>
    </row>
    <row r="74" spans="1:20" ht="16.5" hidden="1" customHeight="1">
      <c r="A74" s="180" t="s">
        <v>537</v>
      </c>
      <c r="B74" s="195"/>
      <c r="C74" s="324">
        <f>'Capital &amp; Opportunity'!C26</f>
        <v>0</v>
      </c>
      <c r="D74" s="303">
        <f t="shared" ref="D74:D75" si="21">C74</f>
        <v>0</v>
      </c>
      <c r="E74" s="324">
        <f>C74*$C$11</f>
        <v>0</v>
      </c>
      <c r="F74" s="220"/>
      <c r="G74" s="324">
        <f>'Capital &amp; Opportunity'!D26</f>
        <v>0</v>
      </c>
      <c r="H74" s="228">
        <f t="shared" ref="H74:H75" si="22">G74</f>
        <v>0</v>
      </c>
      <c r="I74" s="324">
        <f>G74*$G$11</f>
        <v>0</v>
      </c>
      <c r="J74" s="220"/>
      <c r="K74" s="324">
        <f>'Capital &amp; Opportunity'!E26</f>
        <v>0</v>
      </c>
      <c r="L74" s="228">
        <f t="shared" ref="L74:L75" si="23">K74</f>
        <v>0</v>
      </c>
      <c r="M74" s="246">
        <f>K74*$K$11</f>
        <v>0</v>
      </c>
      <c r="N74" s="209"/>
      <c r="O74" s="210"/>
      <c r="P74" s="209"/>
      <c r="Q74" s="210"/>
      <c r="R74" s="209"/>
      <c r="S74" s="211"/>
    </row>
    <row r="75" spans="1:20" ht="16.5" hidden="1" customHeight="1">
      <c r="A75" s="180" t="s">
        <v>544</v>
      </c>
      <c r="B75" s="195"/>
      <c r="C75" s="245">
        <f>'Capital &amp; Opportunity'!C35</f>
        <v>0</v>
      </c>
      <c r="D75" s="303">
        <f t="shared" si="21"/>
        <v>0</v>
      </c>
      <c r="E75" s="245">
        <f>C75*$C$11</f>
        <v>0</v>
      </c>
      <c r="F75" s="220"/>
      <c r="G75" s="245">
        <f>'Capital &amp; Opportunity'!D35</f>
        <v>0</v>
      </c>
      <c r="H75" s="228">
        <f t="shared" si="22"/>
        <v>0</v>
      </c>
      <c r="I75" s="245">
        <f>G75*$G$11</f>
        <v>0</v>
      </c>
      <c r="J75" s="220"/>
      <c r="K75" s="245">
        <f>'Capital &amp; Opportunity'!E35</f>
        <v>0</v>
      </c>
      <c r="L75" s="228">
        <f t="shared" si="23"/>
        <v>0</v>
      </c>
      <c r="M75" s="246">
        <f>K75*$K$11</f>
        <v>0</v>
      </c>
      <c r="N75" s="209"/>
      <c r="O75" s="210"/>
      <c r="P75" s="209"/>
      <c r="Q75" s="210"/>
      <c r="R75" s="209"/>
      <c r="S75" s="211"/>
    </row>
    <row r="76" spans="1:20" ht="16.5" hidden="1" customHeight="1">
      <c r="A76" s="339" t="s">
        <v>546</v>
      </c>
      <c r="B76" s="155"/>
      <c r="C76" s="307">
        <f>SUM(C74:C75)</f>
        <v>0</v>
      </c>
      <c r="D76" s="305"/>
      <c r="E76" s="307">
        <f>SUM(E74:E75)</f>
        <v>0</v>
      </c>
      <c r="F76" s="229"/>
      <c r="G76" s="307">
        <f>SUM(G74:G75)</f>
        <v>0</v>
      </c>
      <c r="H76" s="305"/>
      <c r="I76" s="307">
        <f>SUM(I74:I75)</f>
        <v>0</v>
      </c>
      <c r="J76" s="229"/>
      <c r="K76" s="307">
        <f>SUM(K74:K75)</f>
        <v>0</v>
      </c>
      <c r="L76" s="305"/>
      <c r="M76" s="306">
        <f>SUM(M74:M75)</f>
        <v>0</v>
      </c>
      <c r="N76" s="209"/>
      <c r="O76" s="210"/>
      <c r="P76" s="209"/>
      <c r="Q76" s="210"/>
      <c r="R76" s="209"/>
      <c r="S76" s="211"/>
    </row>
    <row r="77" spans="1:20" ht="16.5" hidden="1" customHeight="1">
      <c r="A77" s="338" t="s">
        <v>547</v>
      </c>
      <c r="B77" s="155"/>
      <c r="C77" s="325">
        <f>C76+C69</f>
        <v>0</v>
      </c>
      <c r="D77" s="331"/>
      <c r="E77" s="325">
        <f>C77*C11</f>
        <v>0</v>
      </c>
      <c r="F77" s="229"/>
      <c r="G77" s="325">
        <f>G76+G69</f>
        <v>0</v>
      </c>
      <c r="H77" s="331"/>
      <c r="I77" s="325">
        <f>G77*G11</f>
        <v>0</v>
      </c>
      <c r="J77" s="229"/>
      <c r="K77" s="325">
        <f>K76+K69</f>
        <v>0</v>
      </c>
      <c r="L77" s="230"/>
      <c r="M77" s="247">
        <f>K77*K11</f>
        <v>0</v>
      </c>
      <c r="N77" s="209"/>
      <c r="O77" s="210"/>
      <c r="P77" s="209"/>
      <c r="Q77" s="210"/>
      <c r="R77" s="209"/>
      <c r="S77" s="211"/>
    </row>
    <row r="78" spans="1:20" ht="16.5" hidden="1" customHeight="1">
      <c r="A78" s="346" t="s">
        <v>575</v>
      </c>
      <c r="B78" s="347"/>
      <c r="C78" s="348">
        <f>(C16-C77)+C56</f>
        <v>0</v>
      </c>
      <c r="D78" s="349"/>
      <c r="E78" s="348">
        <f>C78*C11</f>
        <v>0</v>
      </c>
      <c r="F78" s="350"/>
      <c r="G78" s="348">
        <f>(G16-G77)+G56</f>
        <v>0</v>
      </c>
      <c r="H78" s="349"/>
      <c r="I78" s="348">
        <f>G78*G11</f>
        <v>0</v>
      </c>
      <c r="J78" s="350"/>
      <c r="K78" s="348">
        <f>(K16-K77)+K56</f>
        <v>0</v>
      </c>
      <c r="L78" s="349"/>
      <c r="M78" s="351">
        <f>K78*K11</f>
        <v>0</v>
      </c>
      <c r="N78" s="209"/>
      <c r="O78" s="210"/>
      <c r="P78" s="209"/>
      <c r="Q78" s="210"/>
      <c r="R78" s="209"/>
      <c r="S78" s="211"/>
    </row>
    <row r="79" spans="1:20" ht="16.5" hidden="1" customHeight="1">
      <c r="A79" s="157"/>
      <c r="B79" s="153"/>
      <c r="C79" s="233"/>
      <c r="D79" s="234"/>
      <c r="E79" s="235"/>
      <c r="F79" s="220"/>
      <c r="G79" s="236"/>
      <c r="H79" s="237"/>
      <c r="I79" s="235"/>
      <c r="J79" s="220"/>
      <c r="K79" s="236"/>
      <c r="L79" s="237"/>
      <c r="M79" s="238"/>
      <c r="N79" s="201"/>
      <c r="O79" s="202"/>
      <c r="P79" s="203"/>
      <c r="Q79" s="202"/>
      <c r="R79" s="203"/>
      <c r="S79" s="204"/>
    </row>
    <row r="80" spans="1:20" ht="16.5" hidden="1" customHeight="1">
      <c r="A80" s="157"/>
      <c r="B80" s="153"/>
      <c r="C80" s="239"/>
      <c r="D80" s="304"/>
      <c r="E80" s="221"/>
      <c r="F80" s="220"/>
      <c r="G80" s="227"/>
      <c r="H80" s="222"/>
      <c r="I80" s="221"/>
      <c r="J80" s="220"/>
      <c r="K80" s="227"/>
      <c r="L80" s="130"/>
      <c r="M80" s="215"/>
      <c r="N80" s="200"/>
      <c r="O80" s="214"/>
      <c r="P80" s="200"/>
      <c r="Q80" s="214"/>
      <c r="R80" s="200"/>
      <c r="S80" s="184"/>
    </row>
    <row r="81" spans="1:19" ht="16.5" customHeight="1" thickBot="1">
      <c r="A81" s="883" t="s">
        <v>407</v>
      </c>
      <c r="B81" s="884"/>
      <c r="C81" s="884"/>
      <c r="D81" s="884"/>
      <c r="E81" s="884"/>
      <c r="F81" s="884"/>
      <c r="G81" s="884"/>
      <c r="H81" s="884"/>
      <c r="I81" s="884"/>
      <c r="J81" s="884"/>
      <c r="K81" s="884"/>
      <c r="L81" s="884"/>
      <c r="M81" s="885"/>
      <c r="N81" s="200"/>
      <c r="O81" s="214"/>
      <c r="P81" s="200"/>
      <c r="Q81" s="214"/>
      <c r="R81" s="200"/>
      <c r="S81" s="184"/>
    </row>
    <row r="82" spans="1:19" ht="16.5" customHeight="1">
      <c r="A82" s="21"/>
      <c r="B82" s="2"/>
      <c r="C82" s="190"/>
      <c r="D82" s="886"/>
      <c r="E82" s="887"/>
      <c r="F82" s="2"/>
      <c r="G82" s="190"/>
      <c r="H82" s="886"/>
      <c r="I82" s="887"/>
      <c r="J82" s="2"/>
      <c r="K82" s="190"/>
      <c r="L82" s="886"/>
      <c r="M82" s="893"/>
      <c r="N82" s="200"/>
      <c r="O82" s="214"/>
      <c r="P82" s="200"/>
      <c r="Q82" s="214"/>
      <c r="R82" s="200"/>
      <c r="S82" s="184"/>
    </row>
    <row r="83" spans="1:19">
      <c r="A83" s="455" t="s">
        <v>405</v>
      </c>
      <c r="B83" s="153"/>
      <c r="C83" s="641">
        <f>IFERROR((C59-C47-C56-C66)/C16,0)</f>
        <v>0</v>
      </c>
      <c r="E83" s="588" t="s">
        <v>409</v>
      </c>
      <c r="F83" s="470"/>
      <c r="G83" s="641">
        <f>IFERROR((G59-G47-G56-G66)/G16,0)</f>
        <v>0</v>
      </c>
      <c r="I83" s="588" t="s">
        <v>409</v>
      </c>
      <c r="J83" s="470"/>
      <c r="K83" s="641">
        <f>IFERROR((K59-K47-K56-K66)/K16,0)</f>
        <v>0</v>
      </c>
      <c r="M83" s="590" t="s">
        <v>409</v>
      </c>
      <c r="N83" s="200"/>
      <c r="O83" s="214"/>
      <c r="P83" s="200"/>
      <c r="Q83" s="214"/>
      <c r="R83" s="200"/>
      <c r="S83" s="184"/>
    </row>
    <row r="84" spans="1:19">
      <c r="A84" s="872" t="s">
        <v>648</v>
      </c>
      <c r="B84" s="317"/>
      <c r="C84" s="315"/>
      <c r="E84" s="587" t="s">
        <v>408</v>
      </c>
      <c r="F84" s="471"/>
      <c r="G84" s="315"/>
      <c r="I84" s="587" t="s">
        <v>408</v>
      </c>
      <c r="J84" s="471"/>
      <c r="K84" s="315"/>
      <c r="M84" s="589" t="s">
        <v>408</v>
      </c>
      <c r="N84" s="200"/>
      <c r="O84" s="214"/>
      <c r="P84" s="200"/>
      <c r="Q84" s="214"/>
      <c r="R84" s="200"/>
      <c r="S84" s="184"/>
    </row>
    <row r="85" spans="1:19">
      <c r="A85" s="873"/>
      <c r="B85" s="317"/>
      <c r="C85" s="472"/>
      <c r="E85" s="585" t="s">
        <v>761</v>
      </c>
      <c r="F85" s="471"/>
      <c r="G85" s="472"/>
      <c r="I85" s="585" t="s">
        <v>761</v>
      </c>
      <c r="J85" s="471"/>
      <c r="K85" s="472"/>
      <c r="M85" s="586" t="s">
        <v>761</v>
      </c>
      <c r="N85" s="200"/>
      <c r="O85" s="214"/>
      <c r="P85" s="200"/>
      <c r="Q85" s="214"/>
      <c r="R85" s="200"/>
      <c r="S85" s="184"/>
    </row>
    <row r="86" spans="1:19">
      <c r="A86" s="301"/>
      <c r="B86" s="317"/>
      <c r="C86" s="472"/>
      <c r="D86" s="470"/>
      <c r="E86" s="474"/>
      <c r="F86" s="471"/>
      <c r="G86" s="472"/>
      <c r="H86" s="470"/>
      <c r="I86" s="474"/>
      <c r="J86" s="471"/>
      <c r="K86" s="472"/>
      <c r="L86" s="470"/>
      <c r="M86" s="475"/>
      <c r="N86" s="200"/>
      <c r="O86" s="214"/>
      <c r="P86" s="200"/>
      <c r="Q86" s="214"/>
      <c r="R86" s="200"/>
      <c r="S86" s="184"/>
    </row>
    <row r="87" spans="1:19">
      <c r="A87" s="455" t="s">
        <v>576</v>
      </c>
      <c r="B87" s="153"/>
      <c r="C87" s="641">
        <f>IFERROR(C56/C16,0)</f>
        <v>0</v>
      </c>
      <c r="E87" s="588" t="s">
        <v>580</v>
      </c>
      <c r="F87" s="470"/>
      <c r="G87" s="641">
        <f>IFERROR(G56/G16,0)</f>
        <v>0</v>
      </c>
      <c r="I87" s="588" t="s">
        <v>580</v>
      </c>
      <c r="J87" s="470"/>
      <c r="K87" s="641">
        <f>IFERROR(K56/K16,0)</f>
        <v>0</v>
      </c>
      <c r="M87" s="590" t="s">
        <v>580</v>
      </c>
      <c r="N87" s="200"/>
      <c r="O87" s="214"/>
      <c r="P87" s="200"/>
      <c r="Q87" s="214"/>
      <c r="R87" s="200"/>
      <c r="S87" s="184"/>
    </row>
    <row r="88" spans="1:19" ht="18.75" customHeight="1">
      <c r="A88" s="872" t="s">
        <v>649</v>
      </c>
      <c r="B88" s="317"/>
      <c r="C88" s="315"/>
      <c r="E88" s="587" t="s">
        <v>579</v>
      </c>
      <c r="F88" s="471"/>
      <c r="G88" s="315"/>
      <c r="I88" s="587" t="s">
        <v>579</v>
      </c>
      <c r="J88" s="471"/>
      <c r="K88" s="315"/>
      <c r="M88" s="589" t="s">
        <v>579</v>
      </c>
      <c r="N88" s="200"/>
      <c r="O88" s="214"/>
      <c r="P88" s="200"/>
      <c r="Q88" s="214"/>
      <c r="R88" s="200"/>
      <c r="S88" s="184"/>
    </row>
    <row r="89" spans="1:19">
      <c r="A89" s="873"/>
      <c r="B89" s="317"/>
      <c r="C89" s="472"/>
      <c r="E89" s="585" t="s">
        <v>762</v>
      </c>
      <c r="F89" s="471"/>
      <c r="G89" s="472"/>
      <c r="I89" s="585" t="s">
        <v>762</v>
      </c>
      <c r="J89" s="471"/>
      <c r="K89" s="472"/>
      <c r="M89" s="586" t="s">
        <v>762</v>
      </c>
      <c r="N89" s="200"/>
      <c r="O89" s="214"/>
      <c r="P89" s="200"/>
      <c r="Q89" s="214"/>
      <c r="R89" s="200"/>
      <c r="S89" s="184"/>
    </row>
    <row r="90" spans="1:19">
      <c r="A90" s="301"/>
      <c r="B90" s="317"/>
      <c r="C90" s="472"/>
      <c r="D90" s="470"/>
      <c r="E90" s="474"/>
      <c r="F90" s="471"/>
      <c r="G90" s="472"/>
      <c r="H90" s="470"/>
      <c r="I90" s="474"/>
      <c r="J90" s="471"/>
      <c r="K90" s="472"/>
      <c r="L90" s="470"/>
      <c r="M90" s="475"/>
      <c r="N90" s="200"/>
      <c r="O90" s="214"/>
      <c r="P90" s="200"/>
      <c r="Q90" s="214"/>
      <c r="R90" s="200"/>
      <c r="S90" s="184"/>
    </row>
    <row r="91" spans="1:19">
      <c r="A91" s="455" t="s">
        <v>577</v>
      </c>
      <c r="B91" s="153"/>
      <c r="C91" s="641">
        <f>IFERROR((C47+C66)/C16,0)</f>
        <v>0</v>
      </c>
      <c r="E91" s="588" t="s">
        <v>580</v>
      </c>
      <c r="F91" s="470"/>
      <c r="G91" s="641">
        <f>IFERROR((G47+G66)/G16,0)</f>
        <v>0</v>
      </c>
      <c r="I91" s="588" t="s">
        <v>580</v>
      </c>
      <c r="J91" s="470"/>
      <c r="K91" s="641">
        <f>IFERROR((K47+K66)/K16,0)</f>
        <v>0</v>
      </c>
      <c r="M91" s="590" t="s">
        <v>580</v>
      </c>
      <c r="N91" s="200"/>
      <c r="O91" s="214"/>
      <c r="P91" s="200"/>
      <c r="Q91" s="214"/>
      <c r="R91" s="200"/>
      <c r="S91" s="184"/>
    </row>
    <row r="92" spans="1:19">
      <c r="A92" s="872" t="s">
        <v>650</v>
      </c>
      <c r="B92" s="317"/>
      <c r="C92" s="315"/>
      <c r="E92" s="587" t="s">
        <v>579</v>
      </c>
      <c r="F92" s="471"/>
      <c r="G92" s="315"/>
      <c r="I92" s="587" t="s">
        <v>579</v>
      </c>
      <c r="J92" s="471"/>
      <c r="K92" s="315"/>
      <c r="M92" s="589" t="s">
        <v>579</v>
      </c>
      <c r="N92" s="200"/>
      <c r="O92" s="214"/>
      <c r="P92" s="200"/>
      <c r="Q92" s="214"/>
      <c r="R92" s="200"/>
      <c r="S92" s="184"/>
    </row>
    <row r="93" spans="1:19">
      <c r="A93" s="873"/>
      <c r="B93" s="317"/>
      <c r="C93" s="472"/>
      <c r="E93" s="585" t="s">
        <v>762</v>
      </c>
      <c r="F93" s="471"/>
      <c r="G93" s="472"/>
      <c r="I93" s="585" t="s">
        <v>762</v>
      </c>
      <c r="J93" s="471"/>
      <c r="K93" s="472"/>
      <c r="M93" s="586" t="s">
        <v>762</v>
      </c>
      <c r="N93" s="200"/>
      <c r="O93" s="214"/>
      <c r="P93" s="200"/>
      <c r="Q93" s="214"/>
      <c r="R93" s="200"/>
      <c r="S93" s="184"/>
    </row>
    <row r="94" spans="1:19">
      <c r="A94" s="301"/>
      <c r="B94" s="317"/>
      <c r="C94" s="472"/>
      <c r="D94" s="470"/>
      <c r="E94" s="474"/>
      <c r="F94" s="471"/>
      <c r="G94" s="472"/>
      <c r="H94" s="470"/>
      <c r="I94" s="474"/>
      <c r="J94" s="471"/>
      <c r="K94" s="472"/>
      <c r="L94" s="470"/>
      <c r="M94" s="475"/>
      <c r="N94" s="200"/>
      <c r="O94" s="214"/>
      <c r="P94" s="200"/>
      <c r="Q94" s="214"/>
      <c r="R94" s="200"/>
      <c r="S94" s="184"/>
    </row>
    <row r="95" spans="1:19">
      <c r="A95" s="455" t="s">
        <v>578</v>
      </c>
      <c r="B95" s="153"/>
      <c r="C95" s="641">
        <f>IFERROR(C60/C16,0)</f>
        <v>0</v>
      </c>
      <c r="E95" s="588" t="s">
        <v>763</v>
      </c>
      <c r="F95" s="470"/>
      <c r="G95" s="641">
        <f>IFERROR(G60/G16,0)</f>
        <v>0</v>
      </c>
      <c r="I95" s="588" t="s">
        <v>763</v>
      </c>
      <c r="J95" s="470"/>
      <c r="K95" s="641">
        <f>IFERROR(K60/K16,0)</f>
        <v>0</v>
      </c>
      <c r="M95" s="590" t="s">
        <v>763</v>
      </c>
      <c r="N95" s="200"/>
      <c r="O95" s="214"/>
      <c r="P95" s="200"/>
      <c r="Q95" s="214"/>
      <c r="R95" s="200"/>
      <c r="S95" s="184"/>
    </row>
    <row r="96" spans="1:19">
      <c r="A96" s="872" t="s">
        <v>651</v>
      </c>
      <c r="B96" s="317"/>
      <c r="C96" s="315"/>
      <c r="E96" s="587" t="s">
        <v>581</v>
      </c>
      <c r="F96" s="471"/>
      <c r="G96" s="315"/>
      <c r="I96" s="587" t="s">
        <v>581</v>
      </c>
      <c r="J96" s="471"/>
      <c r="K96" s="315"/>
      <c r="M96" s="589" t="s">
        <v>581</v>
      </c>
      <c r="N96" s="200"/>
      <c r="O96" s="214"/>
      <c r="P96" s="200"/>
      <c r="Q96" s="214"/>
      <c r="R96" s="200"/>
      <c r="S96" s="184"/>
    </row>
    <row r="97" spans="1:19">
      <c r="A97" s="873"/>
      <c r="B97" s="317"/>
      <c r="C97" s="472"/>
      <c r="E97" s="585" t="s">
        <v>582</v>
      </c>
      <c r="F97" s="471"/>
      <c r="G97" s="473"/>
      <c r="I97" s="585" t="s">
        <v>582</v>
      </c>
      <c r="J97" s="471"/>
      <c r="K97" s="473"/>
      <c r="M97" s="586" t="s">
        <v>582</v>
      </c>
      <c r="N97" s="200"/>
      <c r="O97" s="214"/>
      <c r="P97" s="200"/>
      <c r="Q97" s="214"/>
      <c r="R97" s="200"/>
      <c r="S97" s="184"/>
    </row>
    <row r="98" spans="1:19" ht="16.5" customHeight="1" thickBot="1">
      <c r="A98" s="575" t="s">
        <v>587</v>
      </c>
      <c r="B98" s="131"/>
      <c r="C98" s="96"/>
      <c r="D98" s="106"/>
      <c r="E98" s="322"/>
      <c r="F98" s="57"/>
      <c r="G98" s="97"/>
      <c r="H98" s="106"/>
      <c r="I98" s="322"/>
      <c r="J98" s="57"/>
      <c r="K98" s="97"/>
      <c r="L98" s="106"/>
      <c r="M98" s="104"/>
      <c r="N98" s="200"/>
      <c r="O98" s="214"/>
      <c r="P98" s="200"/>
      <c r="Q98" s="214"/>
      <c r="R98" s="200"/>
      <c r="S98" s="184"/>
    </row>
    <row r="99" spans="1:19" ht="16.5" customHeight="1">
      <c r="A99" s="869" t="s">
        <v>509</v>
      </c>
      <c r="B99" s="870"/>
      <c r="C99" s="870"/>
      <c r="D99" s="870"/>
      <c r="E99" s="870"/>
      <c r="F99" s="870"/>
      <c r="G99" s="870"/>
      <c r="H99" s="870"/>
      <c r="I99" s="870"/>
      <c r="J99" s="870"/>
      <c r="K99" s="870"/>
      <c r="L99" s="870"/>
      <c r="M99" s="871"/>
      <c r="N99" s="200"/>
      <c r="O99" s="214"/>
      <c r="P99" s="200"/>
      <c r="Q99" s="214"/>
      <c r="R99" s="200"/>
      <c r="S99" s="184"/>
    </row>
    <row r="100" spans="1:19" ht="16.5" customHeight="1">
      <c r="A100" s="301"/>
      <c r="B100" s="131"/>
      <c r="C100" s="96"/>
      <c r="D100" s="106"/>
      <c r="E100" s="322"/>
      <c r="F100" s="57"/>
      <c r="G100" s="97"/>
      <c r="H100" s="106"/>
      <c r="I100" s="322"/>
      <c r="J100" s="57"/>
      <c r="K100" s="97"/>
      <c r="L100" s="106"/>
      <c r="M100" s="104"/>
      <c r="N100" s="200"/>
      <c r="O100" s="214"/>
      <c r="P100" s="200"/>
      <c r="Q100" s="214"/>
      <c r="R100" s="200"/>
      <c r="S100" s="184"/>
    </row>
    <row r="101" spans="1:19">
      <c r="A101" s="455" t="s">
        <v>732</v>
      </c>
      <c r="B101" s="153"/>
      <c r="C101" s="472"/>
      <c r="D101" s="470"/>
      <c r="E101" s="474"/>
      <c r="F101" s="471"/>
      <c r="G101" s="473"/>
      <c r="H101" s="470"/>
      <c r="I101" s="474"/>
      <c r="J101" s="471"/>
      <c r="K101" s="473"/>
      <c r="L101" s="470"/>
      <c r="M101" s="475"/>
      <c r="N101" s="200"/>
      <c r="O101" s="214"/>
      <c r="P101" s="200"/>
      <c r="Q101" s="214"/>
      <c r="R101" s="200"/>
      <c r="S101" s="184"/>
    </row>
    <row r="102" spans="1:19">
      <c r="A102" s="476" t="s">
        <v>1007</v>
      </c>
      <c r="B102" s="169"/>
      <c r="C102" s="477">
        <f>IFERROR((C59)/C10,0)</f>
        <v>0</v>
      </c>
      <c r="D102" s="478" t="s">
        <v>586</v>
      </c>
      <c r="E102" s="479"/>
      <c r="F102" s="480"/>
      <c r="G102" s="477">
        <f>IFERROR((G59)/G10,0)</f>
        <v>0</v>
      </c>
      <c r="H102" s="478" t="s">
        <v>586</v>
      </c>
      <c r="I102" s="479"/>
      <c r="J102" s="480"/>
      <c r="K102" s="477">
        <f>IFERROR((K59)/K10,0)</f>
        <v>0</v>
      </c>
      <c r="L102" s="478" t="s">
        <v>586</v>
      </c>
      <c r="M102" s="481"/>
      <c r="N102" s="200"/>
      <c r="O102" s="214"/>
      <c r="P102" s="200"/>
      <c r="Q102" s="214"/>
      <c r="R102" s="200"/>
      <c r="S102" s="184"/>
    </row>
    <row r="103" spans="1:19">
      <c r="A103" s="476" t="s">
        <v>1008</v>
      </c>
      <c r="B103" s="169"/>
      <c r="C103" s="790">
        <f>IFERROR((C59-C13)/C10,0)</f>
        <v>0</v>
      </c>
      <c r="D103" s="478" t="s">
        <v>586</v>
      </c>
      <c r="E103" s="479"/>
      <c r="F103" s="480"/>
      <c r="G103" s="790">
        <f>IFERROR((G59-G13)/G10,0)</f>
        <v>0</v>
      </c>
      <c r="H103" s="478" t="s">
        <v>586</v>
      </c>
      <c r="I103" s="479"/>
      <c r="J103" s="480"/>
      <c r="K103" s="790">
        <f>IFERROR((K59-K13)/K10,0)</f>
        <v>0</v>
      </c>
      <c r="L103" s="478" t="s">
        <v>586</v>
      </c>
      <c r="M103" s="481"/>
      <c r="N103" s="200"/>
      <c r="O103" s="214"/>
      <c r="P103" s="200"/>
      <c r="Q103" s="214"/>
      <c r="R103" s="200"/>
      <c r="S103" s="184"/>
    </row>
    <row r="104" spans="1:19" ht="8.25" customHeight="1">
      <c r="A104" s="476"/>
      <c r="B104" s="169"/>
      <c r="C104" s="792"/>
      <c r="D104" s="478"/>
      <c r="E104" s="479"/>
      <c r="F104" s="480"/>
      <c r="G104" s="792"/>
      <c r="H104" s="478"/>
      <c r="I104" s="479"/>
      <c r="J104" s="480"/>
      <c r="K104" s="792"/>
      <c r="L104" s="478"/>
      <c r="M104" s="481"/>
      <c r="N104" s="200"/>
      <c r="O104" s="214"/>
      <c r="P104" s="200"/>
      <c r="Q104" s="214"/>
      <c r="R104" s="200"/>
      <c r="S104" s="184"/>
    </row>
    <row r="105" spans="1:19">
      <c r="A105" s="476" t="s">
        <v>1009</v>
      </c>
      <c r="B105" s="169"/>
      <c r="C105" s="791">
        <f>IFERROR((C59)/C9,0)</f>
        <v>0</v>
      </c>
      <c r="D105" s="483" t="s">
        <v>124</v>
      </c>
      <c r="E105" s="484"/>
      <c r="F105" s="485"/>
      <c r="G105" s="791">
        <f>IFERROR((G59)/G9,0)</f>
        <v>0</v>
      </c>
      <c r="H105" s="483" t="s">
        <v>124</v>
      </c>
      <c r="I105" s="484"/>
      <c r="J105" s="485"/>
      <c r="K105" s="791">
        <f>IFERROR((K59)/K9,0)</f>
        <v>0</v>
      </c>
      <c r="L105" s="483" t="s">
        <v>124</v>
      </c>
      <c r="M105" s="486"/>
      <c r="N105" s="200"/>
      <c r="O105" s="214"/>
      <c r="P105" s="200"/>
      <c r="Q105" s="214"/>
      <c r="R105" s="200"/>
      <c r="S105" s="184"/>
    </row>
    <row r="106" spans="1:19">
      <c r="A106" s="476" t="s">
        <v>1010</v>
      </c>
      <c r="B106" s="169"/>
      <c r="C106" s="482">
        <f>IFERROR((C59-C13)/C9,0)</f>
        <v>0</v>
      </c>
      <c r="D106" s="483" t="s">
        <v>124</v>
      </c>
      <c r="E106" s="484"/>
      <c r="F106" s="485"/>
      <c r="G106" s="482">
        <f>IFERROR((G59-G13)/G9,0)</f>
        <v>0</v>
      </c>
      <c r="H106" s="483" t="s">
        <v>124</v>
      </c>
      <c r="I106" s="484"/>
      <c r="J106" s="485"/>
      <c r="K106" s="482">
        <f>IFERROR((K59-K13)/K9,0)</f>
        <v>0</v>
      </c>
      <c r="L106" s="483" t="s">
        <v>124</v>
      </c>
      <c r="M106" s="486"/>
      <c r="N106" s="200"/>
      <c r="O106" s="214"/>
      <c r="P106" s="200"/>
      <c r="Q106" s="214"/>
      <c r="R106" s="200"/>
      <c r="S106" s="184"/>
    </row>
    <row r="107" spans="1:19">
      <c r="A107" s="487"/>
      <c r="B107" s="169"/>
      <c r="C107" s="793"/>
      <c r="D107" s="794"/>
      <c r="E107" s="795"/>
      <c r="F107" s="485"/>
      <c r="G107" s="793"/>
      <c r="H107" s="794"/>
      <c r="I107" s="795"/>
      <c r="J107" s="485"/>
      <c r="K107" s="793"/>
      <c r="L107" s="794"/>
      <c r="M107" s="796"/>
      <c r="N107" s="200"/>
      <c r="O107" s="214"/>
      <c r="P107" s="200"/>
      <c r="Q107" s="214"/>
      <c r="R107" s="200"/>
      <c r="S107" s="184"/>
    </row>
    <row r="108" spans="1:19">
      <c r="A108" s="455" t="s">
        <v>733</v>
      </c>
      <c r="B108" s="489"/>
      <c r="C108" s="490"/>
      <c r="D108" s="491"/>
      <c r="E108" s="492"/>
      <c r="F108" s="491"/>
      <c r="G108" s="490"/>
      <c r="H108" s="491"/>
      <c r="I108" s="492"/>
      <c r="J108" s="491"/>
      <c r="K108" s="490"/>
      <c r="L108" s="491"/>
      <c r="M108" s="493"/>
      <c r="N108" s="200"/>
      <c r="O108" s="214"/>
      <c r="P108" s="200"/>
      <c r="Q108" s="214"/>
      <c r="R108" s="200"/>
      <c r="S108" s="184"/>
    </row>
    <row r="109" spans="1:19">
      <c r="A109" s="476" t="s">
        <v>1007</v>
      </c>
      <c r="B109" s="169"/>
      <c r="C109" s="477">
        <f>IFERROR((C69-C56)/C10,0)</f>
        <v>0</v>
      </c>
      <c r="D109" s="478" t="s">
        <v>586</v>
      </c>
      <c r="E109" s="484"/>
      <c r="F109" s="485"/>
      <c r="G109" s="477">
        <f>IFERROR((G69-G56)/G10,0)</f>
        <v>0</v>
      </c>
      <c r="H109" s="478" t="s">
        <v>586</v>
      </c>
      <c r="I109" s="484"/>
      <c r="J109" s="485"/>
      <c r="K109" s="477">
        <f>IFERROR((K69-K56)/K10,0)</f>
        <v>0</v>
      </c>
      <c r="L109" s="478" t="s">
        <v>586</v>
      </c>
      <c r="M109" s="486"/>
      <c r="N109" s="200"/>
      <c r="O109" s="214"/>
      <c r="P109" s="200"/>
      <c r="Q109" s="214"/>
      <c r="R109" s="200"/>
      <c r="S109" s="184"/>
    </row>
    <row r="110" spans="1:19">
      <c r="A110" s="476" t="s">
        <v>1008</v>
      </c>
      <c r="B110" s="169"/>
      <c r="C110" s="790">
        <f>IFERROR((C69-C56-C13)/C10,0)</f>
        <v>0</v>
      </c>
      <c r="D110" s="478" t="s">
        <v>586</v>
      </c>
      <c r="E110" s="484"/>
      <c r="F110" s="485"/>
      <c r="G110" s="790">
        <f>IFERROR((G69-G56-G13)/G10,0)</f>
        <v>0</v>
      </c>
      <c r="H110" s="478" t="s">
        <v>586</v>
      </c>
      <c r="I110" s="484"/>
      <c r="J110" s="485"/>
      <c r="K110" s="790">
        <f>IFERROR((K69-K56-K13)/K10,0)</f>
        <v>0</v>
      </c>
      <c r="L110" s="478" t="s">
        <v>586</v>
      </c>
      <c r="M110" s="486"/>
      <c r="N110" s="200"/>
      <c r="O110" s="214"/>
      <c r="P110" s="200"/>
      <c r="Q110" s="214"/>
      <c r="R110" s="200"/>
      <c r="S110" s="184"/>
    </row>
    <row r="111" spans="1:19" ht="8.25" customHeight="1">
      <c r="A111" s="476"/>
      <c r="B111" s="169"/>
      <c r="C111" s="792"/>
      <c r="D111" s="478"/>
      <c r="E111" s="479"/>
      <c r="F111" s="480"/>
      <c r="G111" s="792"/>
      <c r="H111" s="478"/>
      <c r="I111" s="479"/>
      <c r="J111" s="480"/>
      <c r="K111" s="792"/>
      <c r="L111" s="478"/>
      <c r="M111" s="481"/>
      <c r="N111" s="200"/>
      <c r="O111" s="214"/>
      <c r="P111" s="200"/>
      <c r="Q111" s="214"/>
      <c r="R111" s="200"/>
      <c r="S111" s="184"/>
    </row>
    <row r="112" spans="1:19">
      <c r="A112" s="476" t="s">
        <v>1009</v>
      </c>
      <c r="B112" s="169"/>
      <c r="C112" s="791">
        <f>IFERROR((C69-C56)/C9,0)</f>
        <v>0</v>
      </c>
      <c r="D112" s="483" t="s">
        <v>124</v>
      </c>
      <c r="E112" s="484"/>
      <c r="F112" s="485"/>
      <c r="G112" s="791">
        <f>IFERROR((G69-G56)/G9,0)</f>
        <v>0</v>
      </c>
      <c r="H112" s="483" t="s">
        <v>124</v>
      </c>
      <c r="I112" s="484"/>
      <c r="J112" s="485"/>
      <c r="K112" s="791">
        <f>IFERROR((K69-K56)/K9,0)</f>
        <v>0</v>
      </c>
      <c r="L112" s="483" t="s">
        <v>124</v>
      </c>
      <c r="M112" s="486"/>
      <c r="N112" s="200"/>
      <c r="O112" s="214"/>
      <c r="P112" s="200"/>
      <c r="Q112" s="214"/>
      <c r="R112" s="200"/>
      <c r="S112" s="184"/>
    </row>
    <row r="113" spans="1:19">
      <c r="A113" s="476" t="s">
        <v>1010</v>
      </c>
      <c r="B113" s="169"/>
      <c r="C113" s="482">
        <f>IFERROR((C69-C56-C13)/C9,0)</f>
        <v>0</v>
      </c>
      <c r="D113" s="483" t="s">
        <v>124</v>
      </c>
      <c r="E113" s="484"/>
      <c r="F113" s="485"/>
      <c r="G113" s="482">
        <f>IFERROR((G69-G56-G13)/G9,0)</f>
        <v>0</v>
      </c>
      <c r="H113" s="483" t="s">
        <v>124</v>
      </c>
      <c r="I113" s="484"/>
      <c r="J113" s="485"/>
      <c r="K113" s="482">
        <f>IFERROR((K69-K56-K13)/K9,0)</f>
        <v>0</v>
      </c>
      <c r="L113" s="483" t="s">
        <v>124</v>
      </c>
      <c r="M113" s="486"/>
      <c r="N113" s="200"/>
      <c r="O113" s="214"/>
      <c r="P113" s="200"/>
      <c r="Q113" s="214"/>
      <c r="R113" s="200"/>
      <c r="S113" s="184"/>
    </row>
    <row r="114" spans="1:19">
      <c r="A114" s="487"/>
      <c r="B114" s="169"/>
      <c r="C114" s="488"/>
      <c r="D114" s="485"/>
      <c r="E114" s="484"/>
      <c r="F114" s="485"/>
      <c r="G114" s="488"/>
      <c r="H114" s="485"/>
      <c r="I114" s="484"/>
      <c r="J114" s="485"/>
      <c r="K114" s="488"/>
      <c r="L114" s="485"/>
      <c r="M114" s="486"/>
      <c r="N114" s="200"/>
      <c r="O114" s="214"/>
      <c r="P114" s="200"/>
      <c r="Q114" s="214"/>
      <c r="R114" s="200"/>
      <c r="S114" s="184"/>
    </row>
    <row r="115" spans="1:19">
      <c r="A115" s="455" t="s">
        <v>734</v>
      </c>
      <c r="B115" s="489"/>
      <c r="C115" s="490"/>
      <c r="D115" s="491"/>
      <c r="E115" s="492"/>
      <c r="F115" s="491"/>
      <c r="G115" s="490"/>
      <c r="H115" s="491"/>
      <c r="I115" s="492"/>
      <c r="J115" s="491"/>
      <c r="K115" s="490"/>
      <c r="L115" s="491"/>
      <c r="M115" s="493"/>
      <c r="N115" s="200"/>
      <c r="O115" s="214"/>
      <c r="P115" s="200"/>
      <c r="Q115" s="214"/>
      <c r="R115" s="200"/>
      <c r="S115" s="184"/>
    </row>
    <row r="116" spans="1:19">
      <c r="A116" s="476" t="s">
        <v>1007</v>
      </c>
      <c r="B116" s="169"/>
      <c r="C116" s="477">
        <f>IFERROR(C69/C10,0)</f>
        <v>0</v>
      </c>
      <c r="D116" s="478" t="s">
        <v>586</v>
      </c>
      <c r="E116" s="484"/>
      <c r="F116" s="485"/>
      <c r="G116" s="477">
        <f>IFERROR(G69/G10,0)</f>
        <v>0</v>
      </c>
      <c r="H116" s="478" t="s">
        <v>586</v>
      </c>
      <c r="I116" s="484"/>
      <c r="J116" s="485"/>
      <c r="K116" s="477">
        <f>IFERROR(K69/K10,0)</f>
        <v>0</v>
      </c>
      <c r="L116" s="478" t="s">
        <v>586</v>
      </c>
      <c r="M116" s="486"/>
      <c r="N116" s="200"/>
      <c r="O116" s="214"/>
      <c r="P116" s="200"/>
      <c r="Q116" s="214"/>
      <c r="R116" s="200"/>
      <c r="S116" s="184"/>
    </row>
    <row r="117" spans="1:19">
      <c r="A117" s="476" t="s">
        <v>1008</v>
      </c>
      <c r="B117" s="169"/>
      <c r="C117" s="790">
        <f>IFERROR((C69-C13)/C10,0)</f>
        <v>0</v>
      </c>
      <c r="D117" s="478" t="s">
        <v>586</v>
      </c>
      <c r="E117" s="484"/>
      <c r="F117" s="485"/>
      <c r="G117" s="790">
        <f>IFERROR((G69-G13)/G10,0)</f>
        <v>0</v>
      </c>
      <c r="H117" s="478" t="s">
        <v>586</v>
      </c>
      <c r="I117" s="484"/>
      <c r="J117" s="485"/>
      <c r="K117" s="790">
        <f>IFERROR((K69-K13)/K10,0)</f>
        <v>0</v>
      </c>
      <c r="L117" s="478" t="s">
        <v>586</v>
      </c>
      <c r="M117" s="486"/>
      <c r="N117" s="200"/>
      <c r="O117" s="214"/>
      <c r="P117" s="200"/>
      <c r="Q117" s="214"/>
      <c r="R117" s="200"/>
      <c r="S117" s="184"/>
    </row>
    <row r="118" spans="1:19" ht="8.25" customHeight="1">
      <c r="A118" s="476"/>
      <c r="B118" s="169"/>
      <c r="C118" s="792"/>
      <c r="D118" s="478"/>
      <c r="E118" s="479"/>
      <c r="F118" s="480"/>
      <c r="G118" s="792"/>
      <c r="H118" s="478"/>
      <c r="I118" s="479"/>
      <c r="J118" s="480"/>
      <c r="K118" s="792"/>
      <c r="L118" s="478"/>
      <c r="M118" s="481"/>
      <c r="N118" s="200"/>
      <c r="O118" s="214"/>
      <c r="P118" s="200"/>
      <c r="Q118" s="214"/>
      <c r="R118" s="200"/>
      <c r="S118" s="184"/>
    </row>
    <row r="119" spans="1:19">
      <c r="A119" s="476" t="s">
        <v>1009</v>
      </c>
      <c r="B119" s="169"/>
      <c r="C119" s="791">
        <f>IFERROR(C69/C9,0)</f>
        <v>0</v>
      </c>
      <c r="D119" s="483" t="s">
        <v>124</v>
      </c>
      <c r="E119" s="484"/>
      <c r="F119" s="485"/>
      <c r="G119" s="791">
        <f>IFERROR(G69/G9,0)</f>
        <v>0</v>
      </c>
      <c r="H119" s="483" t="s">
        <v>124</v>
      </c>
      <c r="I119" s="484"/>
      <c r="J119" s="485"/>
      <c r="K119" s="791">
        <f>IFERROR(K69/K9,0)</f>
        <v>0</v>
      </c>
      <c r="L119" s="483" t="s">
        <v>124</v>
      </c>
      <c r="M119" s="486"/>
      <c r="N119" s="200"/>
      <c r="O119" s="214"/>
      <c r="P119" s="200"/>
      <c r="Q119" s="214"/>
      <c r="R119" s="200"/>
      <c r="S119" s="184"/>
    </row>
    <row r="120" spans="1:19">
      <c r="A120" s="476" t="s">
        <v>1010</v>
      </c>
      <c r="B120" s="169"/>
      <c r="C120" s="482">
        <f>IFERROR((C69-C13)/C9,0)</f>
        <v>0</v>
      </c>
      <c r="D120" s="483" t="s">
        <v>124</v>
      </c>
      <c r="E120" s="484"/>
      <c r="F120" s="485"/>
      <c r="G120" s="482">
        <f>IFERROR((G69-G13)/G9,0)</f>
        <v>0</v>
      </c>
      <c r="H120" s="483" t="s">
        <v>124</v>
      </c>
      <c r="I120" s="484"/>
      <c r="J120" s="485"/>
      <c r="K120" s="482">
        <f>IFERROR((K69-K13)/K9,0)</f>
        <v>0</v>
      </c>
      <c r="L120" s="483" t="s">
        <v>124</v>
      </c>
      <c r="M120" s="486"/>
      <c r="N120" s="200"/>
      <c r="O120" s="214"/>
      <c r="P120" s="200"/>
      <c r="Q120" s="214"/>
      <c r="R120" s="200"/>
      <c r="S120" s="184"/>
    </row>
    <row r="121" spans="1:19" ht="16.5" hidden="1" customHeight="1">
      <c r="A121" s="21"/>
      <c r="B121" s="2"/>
      <c r="C121" s="100"/>
      <c r="D121" s="62"/>
      <c r="E121" s="98"/>
      <c r="F121" s="62"/>
      <c r="G121" s="100"/>
      <c r="H121" s="62"/>
      <c r="I121" s="98"/>
      <c r="J121" s="62"/>
      <c r="K121" s="100"/>
      <c r="L121" s="62"/>
      <c r="M121" s="99"/>
      <c r="N121" s="200"/>
      <c r="O121" s="214"/>
      <c r="P121" s="200"/>
      <c r="Q121" s="214"/>
      <c r="R121" s="200"/>
      <c r="S121" s="184"/>
    </row>
    <row r="122" spans="1:19" ht="16.5" hidden="1" customHeight="1">
      <c r="A122" s="299" t="s">
        <v>551</v>
      </c>
      <c r="B122" s="333"/>
      <c r="C122" s="334"/>
      <c r="D122" s="335"/>
      <c r="E122" s="336"/>
      <c r="F122" s="335"/>
      <c r="G122" s="334"/>
      <c r="H122" s="335"/>
      <c r="I122" s="336"/>
      <c r="J122" s="335"/>
      <c r="K122" s="334"/>
      <c r="L122" s="335"/>
      <c r="M122" s="337"/>
      <c r="N122" s="200"/>
      <c r="O122" s="214"/>
      <c r="P122" s="200"/>
      <c r="Q122" s="214"/>
      <c r="R122" s="200"/>
      <c r="S122" s="184"/>
    </row>
    <row r="123" spans="1:19" ht="16.5" hidden="1" customHeight="1">
      <c r="A123" s="300" t="s">
        <v>506</v>
      </c>
      <c r="B123" s="2"/>
      <c r="C123" s="361" t="e">
        <f>C77/C10</f>
        <v>#DIV/0!</v>
      </c>
      <c r="D123" s="359" t="s">
        <v>586</v>
      </c>
      <c r="E123" s="98"/>
      <c r="F123" s="62"/>
      <c r="G123" s="361" t="e">
        <f>G77/G10</f>
        <v>#DIV/0!</v>
      </c>
      <c r="H123" s="359" t="s">
        <v>586</v>
      </c>
      <c r="I123" s="98"/>
      <c r="J123" s="62"/>
      <c r="K123" s="361" t="e">
        <f>K77/K10</f>
        <v>#DIV/0!</v>
      </c>
      <c r="L123" s="359" t="s">
        <v>586</v>
      </c>
      <c r="M123" s="99"/>
      <c r="N123" s="200"/>
      <c r="O123" s="214"/>
      <c r="P123" s="200"/>
      <c r="Q123" s="214"/>
      <c r="R123" s="200"/>
      <c r="S123" s="184"/>
    </row>
    <row r="124" spans="1:19" ht="16.5" hidden="1" customHeight="1">
      <c r="A124" s="300" t="s">
        <v>507</v>
      </c>
      <c r="B124" s="2"/>
      <c r="C124" s="362" t="e">
        <f>C77/C9</f>
        <v>#DIV/0!</v>
      </c>
      <c r="D124" s="360" t="s">
        <v>124</v>
      </c>
      <c r="E124" s="98"/>
      <c r="F124" s="62"/>
      <c r="G124" s="362" t="e">
        <f>G77/G9</f>
        <v>#DIV/0!</v>
      </c>
      <c r="H124" s="360" t="s">
        <v>124</v>
      </c>
      <c r="I124" s="98"/>
      <c r="J124" s="62"/>
      <c r="K124" s="362" t="e">
        <f>K77/K9</f>
        <v>#DIV/0!</v>
      </c>
      <c r="L124" s="360" t="s">
        <v>124</v>
      </c>
      <c r="M124" s="99"/>
      <c r="N124" s="200"/>
      <c r="O124" s="214"/>
      <c r="P124" s="200"/>
      <c r="Q124" s="214"/>
      <c r="R124" s="200"/>
      <c r="S124" s="184"/>
    </row>
    <row r="125" spans="1:19" ht="16.5" customHeight="1" thickBot="1">
      <c r="A125" s="21"/>
      <c r="B125" s="2"/>
      <c r="C125" s="190"/>
      <c r="D125" s="2"/>
      <c r="E125" s="195"/>
      <c r="F125" s="2"/>
      <c r="G125" s="190"/>
      <c r="H125" s="2"/>
      <c r="I125" s="195"/>
      <c r="J125" s="2"/>
      <c r="K125" s="190"/>
      <c r="L125" s="2"/>
      <c r="M125" s="58"/>
      <c r="N125" s="200"/>
      <c r="O125" s="214"/>
      <c r="P125" s="200"/>
      <c r="Q125" s="214"/>
      <c r="R125" s="200"/>
      <c r="S125" s="184"/>
    </row>
    <row r="126" spans="1:19" ht="16.5" customHeight="1">
      <c r="A126" s="869" t="s">
        <v>510</v>
      </c>
      <c r="B126" s="870"/>
      <c r="C126" s="870"/>
      <c r="D126" s="870"/>
      <c r="E126" s="870"/>
      <c r="F126" s="870"/>
      <c r="G126" s="870"/>
      <c r="H126" s="870"/>
      <c r="I126" s="870"/>
      <c r="J126" s="870"/>
      <c r="K126" s="870"/>
      <c r="L126" s="870"/>
      <c r="M126" s="871"/>
      <c r="N126" s="200"/>
      <c r="O126" s="214"/>
      <c r="P126" s="200"/>
      <c r="Q126" s="214"/>
      <c r="R126" s="200"/>
      <c r="S126" s="184"/>
    </row>
    <row r="127" spans="1:19" ht="16.5" customHeight="1">
      <c r="A127" s="216"/>
      <c r="B127" s="217"/>
      <c r="C127" s="190"/>
      <c r="D127" s="2"/>
      <c r="E127" s="195"/>
      <c r="F127" s="2"/>
      <c r="G127" s="190"/>
      <c r="H127" s="2"/>
      <c r="I127" s="195"/>
      <c r="J127" s="2"/>
      <c r="K127" s="190"/>
      <c r="L127" s="2"/>
      <c r="M127" s="58"/>
      <c r="N127" s="200"/>
      <c r="O127" s="214"/>
      <c r="P127" s="200"/>
      <c r="Q127" s="214"/>
      <c r="R127" s="200"/>
      <c r="S127" s="184"/>
    </row>
    <row r="128" spans="1:19">
      <c r="A128" s="748" t="s">
        <v>856</v>
      </c>
      <c r="B128" s="762"/>
      <c r="C128" s="731" t="s">
        <v>108</v>
      </c>
      <c r="D128" s="731" t="s">
        <v>109</v>
      </c>
      <c r="E128" s="731" t="s">
        <v>110</v>
      </c>
      <c r="F128" s="12"/>
      <c r="G128" s="731" t="s">
        <v>108</v>
      </c>
      <c r="H128" s="731" t="s">
        <v>109</v>
      </c>
      <c r="I128" s="731" t="s">
        <v>110</v>
      </c>
      <c r="J128" s="12"/>
      <c r="K128" s="731" t="s">
        <v>108</v>
      </c>
      <c r="L128" s="731" t="s">
        <v>109</v>
      </c>
      <c r="M128" s="732" t="s">
        <v>110</v>
      </c>
      <c r="N128" s="200"/>
      <c r="O128" s="214"/>
      <c r="P128" s="200"/>
      <c r="Q128" s="214"/>
      <c r="R128" s="200"/>
      <c r="S128" s="184"/>
    </row>
    <row r="129" spans="1:29" ht="18" customHeight="1">
      <c r="A129" s="894" t="s">
        <v>847</v>
      </c>
      <c r="C129" s="496">
        <f>'Nutrient Management'!B57</f>
        <v>0</v>
      </c>
      <c r="D129" s="496">
        <f>'Nutrient Management'!C57</f>
        <v>0</v>
      </c>
      <c r="E129" s="496">
        <f>'Nutrient Management'!D57</f>
        <v>0</v>
      </c>
      <c r="F129" s="496"/>
      <c r="G129" s="496">
        <f>'Nutrient Management'!F57</f>
        <v>0</v>
      </c>
      <c r="H129" s="496">
        <f>'Nutrient Management'!G57</f>
        <v>0</v>
      </c>
      <c r="I129" s="496">
        <f>'Nutrient Management'!H57</f>
        <v>0</v>
      </c>
      <c r="J129" s="496"/>
      <c r="K129" s="496">
        <f>'Nutrient Management'!J57</f>
        <v>0</v>
      </c>
      <c r="L129" s="496">
        <f>'Nutrient Management'!K57</f>
        <v>0</v>
      </c>
      <c r="M129" s="763">
        <f>'Nutrient Management'!L57</f>
        <v>0</v>
      </c>
      <c r="P129" s="191"/>
      <c r="Q129" s="218"/>
      <c r="S129" s="219"/>
    </row>
    <row r="130" spans="1:29">
      <c r="A130" s="894"/>
      <c r="C130" s="731" t="s">
        <v>111</v>
      </c>
      <c r="D130" s="731" t="s">
        <v>112</v>
      </c>
      <c r="E130" s="731" t="s">
        <v>259</v>
      </c>
      <c r="F130" s="12"/>
      <c r="G130" s="731" t="s">
        <v>111</v>
      </c>
      <c r="H130" s="731" t="s">
        <v>112</v>
      </c>
      <c r="I130" s="731" t="s">
        <v>259</v>
      </c>
      <c r="J130" s="12"/>
      <c r="K130" s="731" t="s">
        <v>111</v>
      </c>
      <c r="L130" s="731" t="s">
        <v>112</v>
      </c>
      <c r="M130" s="732" t="s">
        <v>259</v>
      </c>
      <c r="P130" s="191"/>
      <c r="Q130" s="218"/>
      <c r="S130" s="219"/>
    </row>
    <row r="131" spans="1:29">
      <c r="A131" s="728"/>
      <c r="C131" s="496">
        <f>'Nutrient Management'!B60</f>
        <v>0</v>
      </c>
      <c r="D131" s="496">
        <f>'Nutrient Management'!C60</f>
        <v>0</v>
      </c>
      <c r="E131" s="496">
        <f>'Nutrient Management'!D60</f>
        <v>0</v>
      </c>
      <c r="F131" s="496"/>
      <c r="G131" s="496">
        <f>'Nutrient Management'!F60</f>
        <v>0</v>
      </c>
      <c r="H131" s="496">
        <f>'Nutrient Management'!G60</f>
        <v>0</v>
      </c>
      <c r="I131" s="496">
        <f>'Nutrient Management'!H60</f>
        <v>0</v>
      </c>
      <c r="J131" s="496"/>
      <c r="K131" s="496">
        <f>'Nutrient Management'!J60</f>
        <v>0</v>
      </c>
      <c r="L131" s="496">
        <f>'Nutrient Management'!K60</f>
        <v>0</v>
      </c>
      <c r="M131" s="763">
        <f>'Nutrient Management'!L60</f>
        <v>0</v>
      </c>
      <c r="P131" s="191"/>
      <c r="Q131" s="218"/>
      <c r="S131" s="219"/>
    </row>
    <row r="132" spans="1:29">
      <c r="A132" s="374"/>
      <c r="C132" s="731" t="s">
        <v>114</v>
      </c>
      <c r="D132" s="731" t="s">
        <v>115</v>
      </c>
      <c r="E132" s="731" t="s">
        <v>116</v>
      </c>
      <c r="F132" s="12"/>
      <c r="G132" s="731" t="s">
        <v>114</v>
      </c>
      <c r="H132" s="731" t="s">
        <v>115</v>
      </c>
      <c r="I132" s="731" t="s">
        <v>116</v>
      </c>
      <c r="J132" s="12"/>
      <c r="K132" s="731" t="s">
        <v>114</v>
      </c>
      <c r="L132" s="731" t="s">
        <v>115</v>
      </c>
      <c r="M132" s="732" t="s">
        <v>116</v>
      </c>
      <c r="P132" s="191"/>
      <c r="Q132" s="218"/>
      <c r="S132" s="219"/>
      <c r="X132" s="274"/>
      <c r="Y132" s="60"/>
      <c r="Z132" s="60"/>
      <c r="AA132" s="60"/>
      <c r="AB132" s="60"/>
      <c r="AC132" s="60"/>
    </row>
    <row r="133" spans="1:29">
      <c r="A133" s="374"/>
      <c r="C133" s="496">
        <f>'Nutrient Management'!B62</f>
        <v>0</v>
      </c>
      <c r="D133" s="496">
        <f>'Nutrient Management'!C62</f>
        <v>0</v>
      </c>
      <c r="E133" s="496">
        <f>'Nutrient Management'!D62</f>
        <v>0</v>
      </c>
      <c r="F133" s="497"/>
      <c r="G133" s="496">
        <f>'Nutrient Management'!F62</f>
        <v>0</v>
      </c>
      <c r="H133" s="496">
        <f>'Nutrient Management'!G62</f>
        <v>0</v>
      </c>
      <c r="I133" s="496">
        <f>'Nutrient Management'!H62</f>
        <v>0</v>
      </c>
      <c r="J133" s="497"/>
      <c r="K133" s="496">
        <f>'Nutrient Management'!J62</f>
        <v>0</v>
      </c>
      <c r="L133" s="496">
        <f>'Nutrient Management'!K62</f>
        <v>0</v>
      </c>
      <c r="M133" s="763">
        <f>'Nutrient Management'!L62</f>
        <v>0</v>
      </c>
      <c r="P133" s="191"/>
      <c r="Q133" s="218"/>
      <c r="S133" s="219"/>
      <c r="X133" s="6"/>
      <c r="Y133" s="60"/>
      <c r="Z133" s="60"/>
      <c r="AA133" s="60"/>
      <c r="AB133" s="60"/>
      <c r="AC133" s="60"/>
    </row>
    <row r="134" spans="1:29">
      <c r="A134" s="374"/>
      <c r="C134" s="731" t="s">
        <v>858</v>
      </c>
      <c r="D134" s="731" t="s">
        <v>859</v>
      </c>
      <c r="E134" s="731" t="s">
        <v>860</v>
      </c>
      <c r="F134" s="757"/>
      <c r="G134" s="731" t="s">
        <v>858</v>
      </c>
      <c r="H134" s="731" t="s">
        <v>859</v>
      </c>
      <c r="I134" s="731" t="s">
        <v>860</v>
      </c>
      <c r="J134" s="757"/>
      <c r="K134" s="731" t="s">
        <v>858</v>
      </c>
      <c r="L134" s="731" t="s">
        <v>859</v>
      </c>
      <c r="M134" s="732" t="s">
        <v>860</v>
      </c>
      <c r="P134" s="191"/>
      <c r="Q134" s="218"/>
      <c r="S134" s="219"/>
      <c r="X134" s="6"/>
      <c r="Y134" s="60"/>
      <c r="Z134" s="60"/>
      <c r="AA134" s="60"/>
      <c r="AB134" s="60"/>
      <c r="AC134" s="60"/>
    </row>
    <row r="135" spans="1:29">
      <c r="A135" s="374"/>
      <c r="C135" s="496">
        <f>'Nutrient Management'!B64</f>
        <v>0</v>
      </c>
      <c r="D135" s="496">
        <f>'Nutrient Management'!C64</f>
        <v>0</v>
      </c>
      <c r="E135" s="496">
        <f>'Nutrient Management'!D64</f>
        <v>0</v>
      </c>
      <c r="F135" s="757"/>
      <c r="G135" s="496">
        <f>'Nutrient Management'!F64</f>
        <v>0</v>
      </c>
      <c r="H135" s="496">
        <f>'Nutrient Management'!G64</f>
        <v>0</v>
      </c>
      <c r="I135" s="496">
        <f>'Nutrient Management'!H64</f>
        <v>0</v>
      </c>
      <c r="J135" s="757"/>
      <c r="K135" s="496">
        <f>'Nutrient Management'!J64</f>
        <v>0</v>
      </c>
      <c r="L135" s="496">
        <f>'Nutrient Management'!K64</f>
        <v>0</v>
      </c>
      <c r="M135" s="763">
        <f>'Nutrient Management'!L64</f>
        <v>0</v>
      </c>
      <c r="P135" s="191"/>
      <c r="Q135" s="218"/>
      <c r="S135" s="219"/>
      <c r="X135" s="6"/>
      <c r="Y135" s="60"/>
      <c r="Z135" s="60"/>
      <c r="AA135" s="60"/>
      <c r="AB135" s="60"/>
      <c r="AC135" s="60"/>
    </row>
    <row r="136" spans="1:29">
      <c r="A136" s="374"/>
      <c r="C136" s="729"/>
      <c r="D136" s="756"/>
      <c r="E136" s="730"/>
      <c r="F136" s="757"/>
      <c r="G136" s="729"/>
      <c r="H136" s="756"/>
      <c r="I136" s="730"/>
      <c r="J136" s="757"/>
      <c r="K136" s="729"/>
      <c r="L136" s="756"/>
      <c r="M136" s="764"/>
      <c r="P136" s="191"/>
      <c r="Q136" s="218"/>
      <c r="S136" s="219"/>
      <c r="X136" s="6"/>
      <c r="Y136" s="60"/>
      <c r="Z136" s="60"/>
      <c r="AA136" s="60"/>
      <c r="AB136" s="60"/>
      <c r="AC136" s="60"/>
    </row>
    <row r="137" spans="1:29">
      <c r="A137" s="748" t="s">
        <v>857</v>
      </c>
      <c r="B137" s="762"/>
      <c r="C137" s="494" t="s">
        <v>108</v>
      </c>
      <c r="D137" s="494" t="s">
        <v>109</v>
      </c>
      <c r="E137" s="494" t="s">
        <v>110</v>
      </c>
      <c r="F137" s="12"/>
      <c r="G137" s="494" t="s">
        <v>108</v>
      </c>
      <c r="H137" s="494" t="s">
        <v>109</v>
      </c>
      <c r="I137" s="494" t="s">
        <v>110</v>
      </c>
      <c r="J137" s="12"/>
      <c r="K137" s="494" t="s">
        <v>108</v>
      </c>
      <c r="L137" s="494" t="s">
        <v>109</v>
      </c>
      <c r="M137" s="495" t="s">
        <v>110</v>
      </c>
      <c r="P137" s="191"/>
      <c r="Q137" s="218"/>
      <c r="S137" s="219"/>
      <c r="X137" s="6"/>
      <c r="Y137" s="60"/>
      <c r="Z137" s="60"/>
      <c r="AA137" s="60"/>
      <c r="AB137" s="60"/>
      <c r="AC137" s="60"/>
    </row>
    <row r="138" spans="1:29" ht="18" customHeight="1">
      <c r="A138" s="894" t="s">
        <v>855</v>
      </c>
      <c r="C138" s="496">
        <f>'Nutrient Management'!B69</f>
        <v>0</v>
      </c>
      <c r="D138" s="496">
        <f>'Nutrient Management'!C69</f>
        <v>0</v>
      </c>
      <c r="E138" s="496">
        <f>'Nutrient Management'!D69</f>
        <v>0</v>
      </c>
      <c r="F138" s="496"/>
      <c r="G138" s="496">
        <f>'Nutrient Management'!F69</f>
        <v>0</v>
      </c>
      <c r="H138" s="496">
        <f>'Nutrient Management'!G69</f>
        <v>0</v>
      </c>
      <c r="I138" s="496">
        <f>'Nutrient Management'!H69</f>
        <v>0</v>
      </c>
      <c r="J138" s="496"/>
      <c r="K138" s="496">
        <f>'Nutrient Management'!J69</f>
        <v>0</v>
      </c>
      <c r="L138" s="496">
        <f>'Nutrient Management'!K69</f>
        <v>0</v>
      </c>
      <c r="M138" s="763">
        <f>'Nutrient Management'!L69</f>
        <v>0</v>
      </c>
      <c r="P138" s="191"/>
      <c r="Q138" s="218"/>
      <c r="S138" s="219"/>
      <c r="X138" s="6"/>
      <c r="Y138" s="60"/>
      <c r="Z138" s="60"/>
      <c r="AA138" s="60"/>
      <c r="AB138" s="60"/>
      <c r="AC138" s="60"/>
    </row>
    <row r="139" spans="1:29">
      <c r="A139" s="894"/>
      <c r="C139" s="494" t="s">
        <v>111</v>
      </c>
      <c r="D139" s="494" t="s">
        <v>112</v>
      </c>
      <c r="E139" s="494" t="s">
        <v>259</v>
      </c>
      <c r="F139" s="12"/>
      <c r="G139" s="494" t="s">
        <v>111</v>
      </c>
      <c r="H139" s="494" t="s">
        <v>112</v>
      </c>
      <c r="I139" s="494" t="s">
        <v>259</v>
      </c>
      <c r="J139" s="12"/>
      <c r="K139" s="494" t="s">
        <v>111</v>
      </c>
      <c r="L139" s="494" t="s">
        <v>112</v>
      </c>
      <c r="M139" s="495" t="s">
        <v>259</v>
      </c>
      <c r="P139" s="191"/>
      <c r="Q139" s="218"/>
      <c r="S139" s="219"/>
      <c r="X139" s="6"/>
      <c r="Y139" s="60"/>
      <c r="Z139" s="60"/>
      <c r="AA139" s="60"/>
      <c r="AB139" s="60"/>
      <c r="AC139" s="60"/>
    </row>
    <row r="140" spans="1:29">
      <c r="A140" s="728"/>
      <c r="C140" s="496">
        <f>'Nutrient Management'!B72</f>
        <v>0</v>
      </c>
      <c r="D140" s="496">
        <f>'Nutrient Management'!C72</f>
        <v>0</v>
      </c>
      <c r="E140" s="496">
        <f>'Nutrient Management'!D72</f>
        <v>0</v>
      </c>
      <c r="F140" s="496"/>
      <c r="G140" s="496">
        <f>'Nutrient Management'!F72</f>
        <v>0</v>
      </c>
      <c r="H140" s="496">
        <f>'Nutrient Management'!G72</f>
        <v>0</v>
      </c>
      <c r="I140" s="496">
        <f>'Nutrient Management'!H72</f>
        <v>0</v>
      </c>
      <c r="J140" s="496"/>
      <c r="K140" s="496">
        <f>'Nutrient Management'!J72</f>
        <v>0</v>
      </c>
      <c r="L140" s="496">
        <f>'Nutrient Management'!K72</f>
        <v>0</v>
      </c>
      <c r="M140" s="763">
        <f>'Nutrient Management'!L72</f>
        <v>0</v>
      </c>
      <c r="P140" s="191"/>
      <c r="Q140" s="218"/>
      <c r="S140" s="219"/>
      <c r="X140" s="6"/>
      <c r="Y140" s="60"/>
      <c r="Z140" s="60"/>
      <c r="AA140" s="60"/>
      <c r="AB140" s="60"/>
      <c r="AC140" s="60"/>
    </row>
    <row r="141" spans="1:29" hidden="1">
      <c r="A141" s="374"/>
      <c r="C141" s="494" t="s">
        <v>114</v>
      </c>
      <c r="D141" s="494" t="s">
        <v>115</v>
      </c>
      <c r="E141" s="494" t="s">
        <v>116</v>
      </c>
      <c r="F141" s="12"/>
      <c r="G141" s="494" t="s">
        <v>114</v>
      </c>
      <c r="H141" s="494" t="s">
        <v>115</v>
      </c>
      <c r="I141" s="494" t="s">
        <v>116</v>
      </c>
      <c r="J141" s="12"/>
      <c r="K141" s="494" t="s">
        <v>114</v>
      </c>
      <c r="L141" s="494" t="s">
        <v>115</v>
      </c>
      <c r="M141" s="495" t="s">
        <v>116</v>
      </c>
      <c r="P141" s="191"/>
      <c r="Q141" s="218"/>
      <c r="S141" s="219"/>
      <c r="X141" s="6"/>
      <c r="Y141" s="60"/>
      <c r="Z141" s="60"/>
      <c r="AA141" s="60"/>
      <c r="AB141" s="60"/>
      <c r="AC141" s="60"/>
    </row>
    <row r="142" spans="1:29" hidden="1">
      <c r="A142" s="374"/>
      <c r="C142" s="496">
        <f>'Nutrient Management'!B74</f>
        <v>0</v>
      </c>
      <c r="D142" s="496">
        <f>'Nutrient Management'!C74</f>
        <v>0</v>
      </c>
      <c r="E142" s="496">
        <f>'Nutrient Management'!D74</f>
        <v>0</v>
      </c>
      <c r="F142" s="496"/>
      <c r="G142" s="496">
        <f>'Nutrient Management'!F74</f>
        <v>0</v>
      </c>
      <c r="H142" s="496">
        <f>'Nutrient Management'!G74</f>
        <v>0</v>
      </c>
      <c r="I142" s="496">
        <f>'Nutrient Management'!H74</f>
        <v>0</v>
      </c>
      <c r="J142" s="496"/>
      <c r="K142" s="496">
        <f>'Nutrient Management'!J74</f>
        <v>0</v>
      </c>
      <c r="L142" s="496">
        <f>'Nutrient Management'!K74</f>
        <v>0</v>
      </c>
      <c r="M142" s="763">
        <f>'Nutrient Management'!L74</f>
        <v>0</v>
      </c>
      <c r="P142" s="191"/>
      <c r="Q142" s="218"/>
      <c r="S142" s="219"/>
      <c r="X142" s="6"/>
      <c r="Y142" s="60"/>
      <c r="Z142" s="60"/>
      <c r="AA142" s="60"/>
      <c r="AB142" s="60"/>
      <c r="AC142" s="60"/>
    </row>
    <row r="143" spans="1:29">
      <c r="A143" s="487"/>
      <c r="B143" s="169"/>
      <c r="C143" s="170"/>
      <c r="D143" s="169"/>
      <c r="E143" s="171"/>
      <c r="F143" s="169"/>
      <c r="G143" s="170"/>
      <c r="H143" s="169"/>
      <c r="I143" s="171"/>
      <c r="J143" s="169"/>
      <c r="K143" s="170"/>
      <c r="L143" s="169"/>
      <c r="M143" s="172"/>
      <c r="P143" s="191"/>
      <c r="Q143" s="218"/>
      <c r="R143" s="14"/>
      <c r="S143" s="185"/>
    </row>
    <row r="144" spans="1:29">
      <c r="A144" s="498" t="s">
        <v>418</v>
      </c>
      <c r="B144" s="192"/>
      <c r="C144" s="499" t="s">
        <v>108</v>
      </c>
      <c r="D144" s="499" t="s">
        <v>109</v>
      </c>
      <c r="E144" s="499" t="s">
        <v>110</v>
      </c>
      <c r="F144" s="317"/>
      <c r="G144" s="499" t="s">
        <v>108</v>
      </c>
      <c r="H144" s="499" t="s">
        <v>109</v>
      </c>
      <c r="I144" s="499" t="s">
        <v>110</v>
      </c>
      <c r="J144" s="317"/>
      <c r="K144" s="499" t="s">
        <v>108</v>
      </c>
      <c r="L144" s="499" t="s">
        <v>109</v>
      </c>
      <c r="M144" s="500" t="s">
        <v>110</v>
      </c>
      <c r="P144" s="191"/>
      <c r="Q144" s="218"/>
      <c r="R144" s="14"/>
      <c r="S144" s="185"/>
    </row>
    <row r="145" spans="1:19">
      <c r="A145" s="21" t="s">
        <v>260</v>
      </c>
      <c r="B145" s="169"/>
      <c r="C145" s="501">
        <f>'Fertilizer Plan'!I68</f>
        <v>0</v>
      </c>
      <c r="D145" s="501">
        <f>'Fertilizer Plan'!J68</f>
        <v>0</v>
      </c>
      <c r="E145" s="501">
        <f>'Fertilizer Plan'!K68</f>
        <v>0</v>
      </c>
      <c r="F145" s="759"/>
      <c r="G145" s="501">
        <f>'Fertilizer Plan'!U68</f>
        <v>0</v>
      </c>
      <c r="H145" s="501">
        <f>'Fertilizer Plan'!V68</f>
        <v>0</v>
      </c>
      <c r="I145" s="501">
        <f>'Fertilizer Plan'!W68</f>
        <v>0</v>
      </c>
      <c r="J145" s="759"/>
      <c r="K145" s="501">
        <f>'Fertilizer Plan'!AG68</f>
        <v>0</v>
      </c>
      <c r="L145" s="501">
        <f>'Fertilizer Plan'!AH68</f>
        <v>0</v>
      </c>
      <c r="M145" s="502">
        <f>'Fertilizer Plan'!AI68</f>
        <v>0</v>
      </c>
      <c r="N145" s="93"/>
      <c r="O145" s="93"/>
      <c r="P145" s="94"/>
      <c r="Q145" s="95"/>
      <c r="R145" s="93"/>
      <c r="S145" s="219"/>
    </row>
    <row r="146" spans="1:19">
      <c r="A146" s="487"/>
      <c r="B146" s="169"/>
      <c r="C146" s="499" t="s">
        <v>111</v>
      </c>
      <c r="D146" s="499" t="s">
        <v>112</v>
      </c>
      <c r="E146" s="499" t="s">
        <v>259</v>
      </c>
      <c r="F146" s="759"/>
      <c r="G146" s="499" t="s">
        <v>111</v>
      </c>
      <c r="H146" s="499" t="s">
        <v>112</v>
      </c>
      <c r="I146" s="499" t="s">
        <v>259</v>
      </c>
      <c r="J146" s="759"/>
      <c r="K146" s="499" t="s">
        <v>111</v>
      </c>
      <c r="L146" s="499" t="s">
        <v>112</v>
      </c>
      <c r="M146" s="500" t="s">
        <v>259</v>
      </c>
      <c r="N146" s="93"/>
      <c r="O146" s="93"/>
      <c r="P146" s="94"/>
      <c r="Q146" s="95"/>
      <c r="R146" s="93"/>
      <c r="S146" s="219"/>
    </row>
    <row r="147" spans="1:19">
      <c r="A147" s="487"/>
      <c r="B147" s="169"/>
      <c r="C147" s="501">
        <f>'Fertilizer Plan'!I70</f>
        <v>0</v>
      </c>
      <c r="D147" s="501">
        <f>'Fertilizer Plan'!J70</f>
        <v>0</v>
      </c>
      <c r="E147" s="501">
        <f>'Fertilizer Plan'!K70</f>
        <v>0</v>
      </c>
      <c r="F147" s="759"/>
      <c r="G147" s="501">
        <f>'Fertilizer Plan'!U70</f>
        <v>0</v>
      </c>
      <c r="H147" s="501">
        <f>'Fertilizer Plan'!V70</f>
        <v>0</v>
      </c>
      <c r="I147" s="501">
        <f>'Fertilizer Plan'!W70</f>
        <v>0</v>
      </c>
      <c r="J147" s="759"/>
      <c r="K147" s="501">
        <f>'Fertilizer Plan'!AG70</f>
        <v>0</v>
      </c>
      <c r="L147" s="501">
        <f>'Fertilizer Plan'!AH70</f>
        <v>0</v>
      </c>
      <c r="M147" s="502">
        <f>'Fertilizer Plan'!AI70</f>
        <v>0</v>
      </c>
      <c r="N147" s="93"/>
      <c r="O147" s="93"/>
      <c r="P147" s="94"/>
      <c r="Q147" s="95"/>
      <c r="R147" s="93"/>
      <c r="S147" s="219"/>
    </row>
    <row r="148" spans="1:19">
      <c r="A148" s="487"/>
      <c r="B148" s="169"/>
      <c r="C148" s="499" t="s">
        <v>114</v>
      </c>
      <c r="D148" s="499" t="s">
        <v>115</v>
      </c>
      <c r="E148" s="499" t="s">
        <v>116</v>
      </c>
      <c r="F148" s="759"/>
      <c r="G148" s="499" t="s">
        <v>114</v>
      </c>
      <c r="H148" s="499" t="s">
        <v>115</v>
      </c>
      <c r="I148" s="499" t="s">
        <v>116</v>
      </c>
      <c r="J148" s="759"/>
      <c r="K148" s="499" t="s">
        <v>114</v>
      </c>
      <c r="L148" s="499" t="s">
        <v>115</v>
      </c>
      <c r="M148" s="500" t="s">
        <v>116</v>
      </c>
      <c r="N148" s="93"/>
      <c r="O148" s="93"/>
      <c r="P148" s="94"/>
      <c r="Q148" s="95"/>
      <c r="R148" s="93"/>
      <c r="S148" s="219"/>
    </row>
    <row r="149" spans="1:19">
      <c r="A149" s="487"/>
      <c r="B149" s="169"/>
      <c r="C149" s="503">
        <f>'Fertilizer Plan'!I72</f>
        <v>0</v>
      </c>
      <c r="D149" s="503">
        <f>'Fertilizer Plan'!J72</f>
        <v>0</v>
      </c>
      <c r="E149" s="503">
        <f>'Fertilizer Plan'!K72</f>
        <v>0</v>
      </c>
      <c r="F149" s="504"/>
      <c r="G149" s="503">
        <f>'Fertilizer Plan'!U72</f>
        <v>0</v>
      </c>
      <c r="H149" s="503">
        <f>'Fertilizer Plan'!V72</f>
        <v>0</v>
      </c>
      <c r="I149" s="503">
        <f>'Fertilizer Plan'!W72</f>
        <v>0</v>
      </c>
      <c r="J149" s="504"/>
      <c r="K149" s="503">
        <f>'Fertilizer Plan'!AG72</f>
        <v>0</v>
      </c>
      <c r="L149" s="503">
        <f>'Fertilizer Plan'!AH72</f>
        <v>0</v>
      </c>
      <c r="M149" s="505">
        <f>'Fertilizer Plan'!AI72</f>
        <v>0</v>
      </c>
      <c r="N149" s="93"/>
      <c r="O149" s="93"/>
      <c r="P149" s="94"/>
      <c r="Q149" s="95"/>
      <c r="R149" s="93"/>
      <c r="S149" s="219"/>
    </row>
    <row r="150" spans="1:19">
      <c r="A150" s="487"/>
      <c r="B150" s="169"/>
      <c r="C150" s="499" t="s">
        <v>858</v>
      </c>
      <c r="D150" s="499" t="s">
        <v>859</v>
      </c>
      <c r="E150" s="499" t="s">
        <v>860</v>
      </c>
      <c r="F150" s="759"/>
      <c r="G150" s="499" t="s">
        <v>858</v>
      </c>
      <c r="H150" s="499" t="s">
        <v>859</v>
      </c>
      <c r="I150" s="499" t="s">
        <v>860</v>
      </c>
      <c r="J150" s="759"/>
      <c r="K150" s="499" t="s">
        <v>858</v>
      </c>
      <c r="L150" s="499" t="s">
        <v>859</v>
      </c>
      <c r="M150" s="500" t="s">
        <v>860</v>
      </c>
      <c r="N150" s="93"/>
      <c r="O150" s="93"/>
      <c r="P150" s="94"/>
      <c r="Q150" s="95"/>
      <c r="R150" s="93"/>
      <c r="S150" s="219"/>
    </row>
    <row r="151" spans="1:19">
      <c r="A151" s="487"/>
      <c r="B151" s="169"/>
      <c r="C151" s="503">
        <f>'Fertilizer Plan'!I74</f>
        <v>0</v>
      </c>
      <c r="D151" s="503">
        <f>'Fertilizer Plan'!J74</f>
        <v>0</v>
      </c>
      <c r="E151" s="503">
        <f>'Fertilizer Plan'!K74</f>
        <v>0</v>
      </c>
      <c r="F151" s="759"/>
      <c r="G151" s="503">
        <f>'Fertilizer Plan'!U74</f>
        <v>0</v>
      </c>
      <c r="H151" s="503">
        <f>'Fertilizer Plan'!V74</f>
        <v>0</v>
      </c>
      <c r="I151" s="503">
        <f>'Fertilizer Plan'!W74</f>
        <v>0</v>
      </c>
      <c r="J151" s="759"/>
      <c r="K151" s="503">
        <f>'Fertilizer Plan'!AG74</f>
        <v>0</v>
      </c>
      <c r="L151" s="503">
        <f>'Fertilizer Plan'!AH74</f>
        <v>0</v>
      </c>
      <c r="M151" s="505">
        <f>'Fertilizer Plan'!AI74</f>
        <v>0</v>
      </c>
      <c r="N151" s="93"/>
      <c r="O151" s="93"/>
      <c r="P151" s="94"/>
      <c r="Q151" s="95"/>
      <c r="R151" s="93"/>
      <c r="S151" s="219"/>
    </row>
    <row r="152" spans="1:19">
      <c r="A152" s="487"/>
      <c r="B152" s="169"/>
      <c r="C152" s="758"/>
      <c r="D152" s="758"/>
      <c r="E152" s="758"/>
      <c r="F152" s="759"/>
      <c r="G152" s="758"/>
      <c r="H152" s="758"/>
      <c r="I152" s="758"/>
      <c r="J152" s="759"/>
      <c r="K152" s="758"/>
      <c r="L152" s="758"/>
      <c r="M152" s="506"/>
      <c r="N152" s="93"/>
      <c r="O152" s="93"/>
      <c r="P152" s="94"/>
      <c r="Q152" s="95"/>
      <c r="R152" s="93"/>
      <c r="S152" s="219"/>
    </row>
    <row r="153" spans="1:19">
      <c r="A153" s="507"/>
      <c r="B153" s="471"/>
      <c r="C153" s="360" t="s">
        <v>519</v>
      </c>
      <c r="D153" s="485"/>
      <c r="E153" s="485"/>
      <c r="G153" s="780" t="s">
        <v>504</v>
      </c>
      <c r="H153" s="780"/>
      <c r="I153" s="780"/>
      <c r="J153" s="780"/>
      <c r="K153" s="780"/>
      <c r="L153" s="780"/>
      <c r="M153" s="781"/>
      <c r="N153" s="93"/>
      <c r="O153" s="93"/>
      <c r="P153" s="94"/>
      <c r="Q153" s="95"/>
      <c r="R153" s="93"/>
      <c r="S153" s="219"/>
    </row>
    <row r="154" spans="1:19" ht="18.600000000000001" thickBot="1">
      <c r="A154" s="375"/>
      <c r="B154" s="376"/>
      <c r="C154" s="376"/>
      <c r="D154" s="376"/>
      <c r="E154" s="376"/>
      <c r="F154" s="376"/>
      <c r="G154" s="376"/>
      <c r="H154" s="376"/>
      <c r="I154" s="376"/>
      <c r="J154" s="376"/>
      <c r="K154" s="376"/>
      <c r="L154" s="376"/>
      <c r="M154" s="377"/>
    </row>
    <row r="155" spans="1:19">
      <c r="A155" s="869" t="s">
        <v>620</v>
      </c>
      <c r="B155" s="870"/>
      <c r="C155" s="870"/>
      <c r="D155" s="870"/>
      <c r="E155" s="870"/>
      <c r="F155" s="870"/>
      <c r="G155" s="870"/>
      <c r="H155" s="870"/>
      <c r="I155" s="870"/>
      <c r="J155" s="870"/>
      <c r="K155" s="870"/>
      <c r="L155" s="870"/>
      <c r="M155" s="871"/>
    </row>
    <row r="156" spans="1:19">
      <c r="A156" s="374"/>
      <c r="M156" s="219"/>
    </row>
    <row r="157" spans="1:19">
      <c r="A157" s="374"/>
      <c r="M157" s="219"/>
    </row>
    <row r="158" spans="1:19">
      <c r="A158" s="374"/>
      <c r="M158" s="219"/>
    </row>
    <row r="159" spans="1:19">
      <c r="A159" s="374"/>
      <c r="M159" s="219"/>
    </row>
    <row r="160" spans="1:19">
      <c r="A160" s="374"/>
      <c r="M160" s="219"/>
    </row>
    <row r="161" spans="1:13">
      <c r="A161" s="374"/>
      <c r="M161" s="219"/>
    </row>
    <row r="162" spans="1:13">
      <c r="A162" s="374"/>
      <c r="M162" s="219"/>
    </row>
    <row r="163" spans="1:13">
      <c r="A163" s="374"/>
      <c r="M163" s="219"/>
    </row>
    <row r="164" spans="1:13">
      <c r="A164" s="374"/>
      <c r="M164" s="219"/>
    </row>
    <row r="165" spans="1:13">
      <c r="A165" s="374"/>
      <c r="M165" s="219"/>
    </row>
    <row r="166" spans="1:13">
      <c r="A166" s="374"/>
      <c r="M166" s="219"/>
    </row>
    <row r="167" spans="1:13">
      <c r="A167" s="374"/>
      <c r="M167" s="219"/>
    </row>
    <row r="168" spans="1:13">
      <c r="A168" s="374"/>
      <c r="M168" s="219"/>
    </row>
    <row r="169" spans="1:13">
      <c r="A169" s="374"/>
      <c r="M169" s="219"/>
    </row>
    <row r="170" spans="1:13">
      <c r="A170" s="374"/>
      <c r="M170" s="219"/>
    </row>
    <row r="171" spans="1:13">
      <c r="A171" s="374"/>
      <c r="M171" s="219"/>
    </row>
    <row r="172" spans="1:13">
      <c r="A172" s="374"/>
      <c r="M172" s="219"/>
    </row>
    <row r="173" spans="1:13">
      <c r="A173" s="374"/>
      <c r="M173" s="219"/>
    </row>
    <row r="174" spans="1:13">
      <c r="A174" s="374"/>
      <c r="M174" s="219"/>
    </row>
    <row r="175" spans="1:13">
      <c r="A175" s="374"/>
      <c r="M175" s="219"/>
    </row>
    <row r="176" spans="1:13">
      <c r="A176" s="374"/>
      <c r="M176" s="219"/>
    </row>
    <row r="177" spans="1:13">
      <c r="A177" s="374"/>
      <c r="M177" s="219"/>
    </row>
    <row r="178" spans="1:13">
      <c r="A178" s="374"/>
      <c r="M178" s="219"/>
    </row>
    <row r="179" spans="1:13">
      <c r="A179" s="374"/>
      <c r="M179" s="219"/>
    </row>
    <row r="180" spans="1:13">
      <c r="A180" s="374"/>
      <c r="M180" s="219"/>
    </row>
    <row r="181" spans="1:13">
      <c r="A181" s="374"/>
      <c r="M181" s="219"/>
    </row>
    <row r="182" spans="1:13">
      <c r="A182" s="374"/>
      <c r="M182" s="219"/>
    </row>
    <row r="183" spans="1:13">
      <c r="A183" s="374"/>
      <c r="M183" s="219"/>
    </row>
    <row r="184" spans="1:13">
      <c r="A184" s="374"/>
      <c r="M184" s="219"/>
    </row>
    <row r="185" spans="1:13">
      <c r="A185" s="374"/>
      <c r="M185" s="219"/>
    </row>
    <row r="186" spans="1:13">
      <c r="A186" s="374"/>
      <c r="M186" s="219"/>
    </row>
    <row r="187" spans="1:13">
      <c r="A187" s="374"/>
      <c r="M187" s="219"/>
    </row>
    <row r="188" spans="1:13">
      <c r="A188" s="374"/>
      <c r="M188" s="219"/>
    </row>
    <row r="189" spans="1:13">
      <c r="A189" s="374"/>
      <c r="M189" s="219"/>
    </row>
    <row r="190" spans="1:13">
      <c r="A190" s="374"/>
      <c r="M190" s="219"/>
    </row>
    <row r="191" spans="1:13">
      <c r="A191" s="374"/>
      <c r="M191" s="219"/>
    </row>
    <row r="192" spans="1:13">
      <c r="A192" s="374"/>
      <c r="M192" s="219"/>
    </row>
    <row r="193" spans="1:13">
      <c r="A193" s="374"/>
      <c r="M193" s="219"/>
    </row>
    <row r="194" spans="1:13">
      <c r="A194" s="374"/>
      <c r="M194" s="219"/>
    </row>
    <row r="195" spans="1:13">
      <c r="A195" s="374"/>
      <c r="M195" s="219"/>
    </row>
    <row r="196" spans="1:13">
      <c r="A196" s="374"/>
      <c r="M196" s="219"/>
    </row>
    <row r="197" spans="1:13">
      <c r="A197" s="374"/>
      <c r="M197" s="219"/>
    </row>
    <row r="198" spans="1:13">
      <c r="A198" s="374"/>
      <c r="M198" s="219"/>
    </row>
    <row r="199" spans="1:13">
      <c r="A199" s="374"/>
      <c r="M199" s="219"/>
    </row>
    <row r="200" spans="1:13">
      <c r="A200" s="374"/>
      <c r="M200" s="219"/>
    </row>
    <row r="201" spans="1:13">
      <c r="A201" s="374"/>
      <c r="M201" s="219"/>
    </row>
    <row r="202" spans="1:13">
      <c r="A202" s="374"/>
      <c r="M202" s="219"/>
    </row>
    <row r="203" spans="1:13">
      <c r="A203" s="374"/>
      <c r="M203" s="219"/>
    </row>
    <row r="204" spans="1:13">
      <c r="A204" s="374"/>
      <c r="M204" s="219"/>
    </row>
    <row r="205" spans="1:13">
      <c r="A205" s="374"/>
      <c r="M205" s="219"/>
    </row>
    <row r="206" spans="1:13">
      <c r="A206" s="374"/>
      <c r="M206" s="219"/>
    </row>
    <row r="207" spans="1:13">
      <c r="A207" s="374"/>
      <c r="M207" s="219"/>
    </row>
    <row r="208" spans="1:13">
      <c r="A208" s="374"/>
      <c r="M208" s="219"/>
    </row>
    <row r="209" spans="1:13">
      <c r="A209" s="374"/>
      <c r="M209" s="219"/>
    </row>
    <row r="210" spans="1:13">
      <c r="A210" s="374"/>
      <c r="M210" s="219"/>
    </row>
    <row r="211" spans="1:13" ht="18.600000000000001" thickBot="1">
      <c r="A211" s="375"/>
      <c r="B211" s="376"/>
      <c r="C211" s="376"/>
      <c r="D211" s="376"/>
      <c r="E211" s="376"/>
      <c r="F211" s="376"/>
      <c r="G211" s="376"/>
      <c r="H211" s="376"/>
      <c r="I211" s="376"/>
      <c r="J211" s="376"/>
      <c r="K211" s="376"/>
      <c r="L211" s="376"/>
      <c r="M211" s="377"/>
    </row>
  </sheetData>
  <sheetProtection sheet="1" objects="1" scenarios="1"/>
  <dataConsolidate/>
  <mergeCells count="27">
    <mergeCell ref="P5:Q5"/>
    <mergeCell ref="N5:O5"/>
    <mergeCell ref="R5:S5"/>
    <mergeCell ref="A155:M155"/>
    <mergeCell ref="A81:M81"/>
    <mergeCell ref="H82:I82"/>
    <mergeCell ref="D82:E82"/>
    <mergeCell ref="A84:A85"/>
    <mergeCell ref="A88:A89"/>
    <mergeCell ref="C6:E6"/>
    <mergeCell ref="G6:I6"/>
    <mergeCell ref="K6:M6"/>
    <mergeCell ref="B15:B16"/>
    <mergeCell ref="L82:M82"/>
    <mergeCell ref="A129:A130"/>
    <mergeCell ref="A138:A139"/>
    <mergeCell ref="A1:M3"/>
    <mergeCell ref="C5:E5"/>
    <mergeCell ref="G5:I5"/>
    <mergeCell ref="K5:M5"/>
    <mergeCell ref="A126:M126"/>
    <mergeCell ref="A99:M99"/>
    <mergeCell ref="A92:A93"/>
    <mergeCell ref="A96:A97"/>
    <mergeCell ref="A72:M72"/>
    <mergeCell ref="A62:M62"/>
    <mergeCell ref="A15:A16"/>
  </mergeCells>
  <conditionalFormatting sqref="D20:D48">
    <cfRule type="dataBar" priority="570">
      <dataBar showValue="0">
        <cfvo type="min"/>
        <cfvo type="max"/>
        <color rgb="FF63C384"/>
      </dataBar>
      <extLst>
        <ext xmlns:x14="http://schemas.microsoft.com/office/spreadsheetml/2009/9/main" uri="{B025F937-C7B1-47D3-B67F-A62EFF666E3E}">
          <x14:id>{DFFD5CBF-4274-4041-81CA-88DEBFB189B6}</x14:id>
        </ext>
      </extLst>
    </cfRule>
  </conditionalFormatting>
  <conditionalFormatting sqref="D53:D57">
    <cfRule type="dataBar" priority="563">
      <dataBar showValue="0">
        <cfvo type="min"/>
        <cfvo type="max"/>
        <color rgb="FF63C384"/>
      </dataBar>
      <extLst>
        <ext xmlns:x14="http://schemas.microsoft.com/office/spreadsheetml/2009/9/main" uri="{B025F937-C7B1-47D3-B67F-A62EFF666E3E}">
          <x14:id>{ABF07D87-9307-466F-B423-AD86C2B8D024}</x14:id>
        </ext>
      </extLst>
    </cfRule>
  </conditionalFormatting>
  <conditionalFormatting sqref="D64:D67">
    <cfRule type="dataBar" priority="576">
      <dataBar showValue="0">
        <cfvo type="min"/>
        <cfvo type="max"/>
        <color rgb="FF63C384"/>
      </dataBar>
      <extLst>
        <ext xmlns:x14="http://schemas.microsoft.com/office/spreadsheetml/2009/9/main" uri="{B025F937-C7B1-47D3-B67F-A62EFF666E3E}">
          <x14:id>{08133580-B0A9-4829-94F8-8E3826767F44}</x14:id>
        </ext>
      </extLst>
    </cfRule>
  </conditionalFormatting>
  <conditionalFormatting sqref="D74:D75">
    <cfRule type="dataBar" priority="579">
      <dataBar showValue="0">
        <cfvo type="min"/>
        <cfvo type="max"/>
        <color rgb="FF63C384"/>
      </dataBar>
      <extLst>
        <ext xmlns:x14="http://schemas.microsoft.com/office/spreadsheetml/2009/9/main" uri="{B025F937-C7B1-47D3-B67F-A62EFF666E3E}">
          <x14:id>{9A9F3E77-62BD-4925-AD96-C63EE6A7EA02}</x14:id>
        </ext>
      </extLst>
    </cfRule>
  </conditionalFormatting>
  <conditionalFormatting sqref="H20:H48">
    <cfRule type="dataBar" priority="572">
      <dataBar showValue="0">
        <cfvo type="min"/>
        <cfvo type="max"/>
        <color rgb="FF63C384"/>
      </dataBar>
      <extLst>
        <ext xmlns:x14="http://schemas.microsoft.com/office/spreadsheetml/2009/9/main" uri="{B025F937-C7B1-47D3-B67F-A62EFF666E3E}">
          <x14:id>{B448E95B-C6F8-453E-A3AE-249FD402675F}</x14:id>
        </ext>
      </extLst>
    </cfRule>
  </conditionalFormatting>
  <conditionalFormatting sqref="H53:H57">
    <cfRule type="dataBar" priority="562">
      <dataBar showValue="0">
        <cfvo type="min"/>
        <cfvo type="max"/>
        <color rgb="FF63C384"/>
      </dataBar>
      <extLst>
        <ext xmlns:x14="http://schemas.microsoft.com/office/spreadsheetml/2009/9/main" uri="{B025F937-C7B1-47D3-B67F-A62EFF666E3E}">
          <x14:id>{2A1A8D49-D5EF-4887-A5B3-2AB7ABDC1709}</x14:id>
        </ext>
      </extLst>
    </cfRule>
  </conditionalFormatting>
  <conditionalFormatting sqref="H64:H67">
    <cfRule type="dataBar" priority="577">
      <dataBar showValue="0">
        <cfvo type="min"/>
        <cfvo type="max"/>
        <color rgb="FF63C384"/>
      </dataBar>
      <extLst>
        <ext xmlns:x14="http://schemas.microsoft.com/office/spreadsheetml/2009/9/main" uri="{B025F937-C7B1-47D3-B67F-A62EFF666E3E}">
          <x14:id>{ECAE5CCC-EF50-49AE-93EF-FD70ED20A078}</x14:id>
        </ext>
      </extLst>
    </cfRule>
  </conditionalFormatting>
  <conditionalFormatting sqref="H74:H75">
    <cfRule type="dataBar" priority="580">
      <dataBar showValue="0">
        <cfvo type="min"/>
        <cfvo type="max"/>
        <color rgb="FF63C384"/>
      </dataBar>
      <extLst>
        <ext xmlns:x14="http://schemas.microsoft.com/office/spreadsheetml/2009/9/main" uri="{B025F937-C7B1-47D3-B67F-A62EFF666E3E}">
          <x14:id>{53A66F99-7791-46CD-89E7-7346DA69D8CA}</x14:id>
        </ext>
      </extLst>
    </cfRule>
  </conditionalFormatting>
  <conditionalFormatting sqref="L20:L48">
    <cfRule type="dataBar" priority="574">
      <dataBar showValue="0">
        <cfvo type="min"/>
        <cfvo type="max"/>
        <color rgb="FF63C384"/>
      </dataBar>
      <extLst>
        <ext xmlns:x14="http://schemas.microsoft.com/office/spreadsheetml/2009/9/main" uri="{B025F937-C7B1-47D3-B67F-A62EFF666E3E}">
          <x14:id>{174E35D5-C436-4A14-886C-5B51743A4A33}</x14:id>
        </ext>
      </extLst>
    </cfRule>
  </conditionalFormatting>
  <conditionalFormatting sqref="L53:L57">
    <cfRule type="dataBar" priority="561">
      <dataBar showValue="0">
        <cfvo type="min"/>
        <cfvo type="max"/>
        <color rgb="FF63C384"/>
      </dataBar>
      <extLst>
        <ext xmlns:x14="http://schemas.microsoft.com/office/spreadsheetml/2009/9/main" uri="{B025F937-C7B1-47D3-B67F-A62EFF666E3E}">
          <x14:id>{4F918F03-759B-40BA-A88B-680B640ED8F4}</x14:id>
        </ext>
      </extLst>
    </cfRule>
  </conditionalFormatting>
  <conditionalFormatting sqref="L64:L67">
    <cfRule type="dataBar" priority="578">
      <dataBar showValue="0">
        <cfvo type="min"/>
        <cfvo type="max"/>
        <color rgb="FF63C384"/>
      </dataBar>
      <extLst>
        <ext xmlns:x14="http://schemas.microsoft.com/office/spreadsheetml/2009/9/main" uri="{B025F937-C7B1-47D3-B67F-A62EFF666E3E}">
          <x14:id>{1B7AB26F-0845-4547-BD62-D24C8DBDA6E0}</x14:id>
        </ext>
      </extLst>
    </cfRule>
  </conditionalFormatting>
  <conditionalFormatting sqref="L74:L75">
    <cfRule type="dataBar" priority="581">
      <dataBar showValue="0">
        <cfvo type="min"/>
        <cfvo type="max"/>
        <color rgb="FF63C384"/>
      </dataBar>
      <extLst>
        <ext xmlns:x14="http://schemas.microsoft.com/office/spreadsheetml/2009/9/main" uri="{B025F937-C7B1-47D3-B67F-A62EFF666E3E}">
          <x14:id>{1258B422-5B4F-4689-A016-B7CC44E6DC3E}</x14:id>
        </ext>
      </extLst>
    </cfRule>
  </conditionalFormatting>
  <dataValidations count="1">
    <dataValidation type="list" allowBlank="1" showInputMessage="1" showErrorMessage="1" sqref="K6:M6 C6:E6 G6:I6" xr:uid="{1ADE8F42-7AFA-4922-A6A2-EDD606189B4B}">
      <formula1>$AB$6:$AB$11</formula1>
    </dataValidation>
  </dataValidations>
  <hyperlinks>
    <hyperlink ref="G153" r:id="rId1" xr:uid="{08932BD2-8E40-4FF2-9D34-DBF0BC8DFDA1}"/>
    <hyperlink ref="G153:M153" r:id="rId2" display="MSU Bulletin E-2904, Nutrient Recommendations for Field Crops in Michigan" xr:uid="{A6BE9315-7D27-4B6C-9FB5-B9B3643AB862}"/>
  </hyperlinks>
  <printOptions horizontalCentered="1"/>
  <pageMargins left="0.25" right="0.25" top="0.25" bottom="0.25" header="0" footer="0"/>
  <pageSetup scale="58" orientation="portrait" r:id="rId3"/>
  <drawing r:id="rId4"/>
  <extLst>
    <ext xmlns:x14="http://schemas.microsoft.com/office/spreadsheetml/2009/9/main" uri="{78C0D931-6437-407d-A8EE-F0AAD7539E65}">
      <x14:conditionalFormattings>
        <x14:conditionalFormatting xmlns:xm="http://schemas.microsoft.com/office/excel/2006/main">
          <x14:cfRule type="dataBar" id="{DFFD5CBF-4274-4041-81CA-88DEBFB189B6}">
            <x14:dataBar minLength="0" maxLength="100" border="1" negativeBarBorderColorSameAsPositive="0">
              <x14:cfvo type="autoMin"/>
              <x14:cfvo type="autoMax"/>
              <x14:borderColor rgb="FF63C384"/>
              <x14:negativeFillColor rgb="FFFF0000"/>
              <x14:negativeBorderColor rgb="FFFF0000"/>
              <x14:axisColor rgb="FF000000"/>
            </x14:dataBar>
          </x14:cfRule>
          <xm:sqref>D20:D48</xm:sqref>
        </x14:conditionalFormatting>
        <x14:conditionalFormatting xmlns:xm="http://schemas.microsoft.com/office/excel/2006/main">
          <x14:cfRule type="dataBar" id="{ABF07D87-9307-466F-B423-AD86C2B8D024}">
            <x14:dataBar minLength="0" maxLength="100" border="1" negativeBarBorderColorSameAsPositive="0">
              <x14:cfvo type="autoMin"/>
              <x14:cfvo type="autoMax"/>
              <x14:borderColor rgb="FF63C384"/>
              <x14:negativeFillColor rgb="FFFF0000"/>
              <x14:negativeBorderColor rgb="FFFF0000"/>
              <x14:axisColor rgb="FF000000"/>
            </x14:dataBar>
          </x14:cfRule>
          <xm:sqref>D53:D57</xm:sqref>
        </x14:conditionalFormatting>
        <x14:conditionalFormatting xmlns:xm="http://schemas.microsoft.com/office/excel/2006/main">
          <x14:cfRule type="dataBar" id="{08133580-B0A9-4829-94F8-8E3826767F44}">
            <x14:dataBar minLength="0" maxLength="100" border="1" negativeBarBorderColorSameAsPositive="0">
              <x14:cfvo type="autoMin"/>
              <x14:cfvo type="autoMax"/>
              <x14:borderColor rgb="FF63C384"/>
              <x14:negativeFillColor rgb="FFFF0000"/>
              <x14:negativeBorderColor rgb="FFFF0000"/>
              <x14:axisColor rgb="FF000000"/>
            </x14:dataBar>
          </x14:cfRule>
          <xm:sqref>D64:D67</xm:sqref>
        </x14:conditionalFormatting>
        <x14:conditionalFormatting xmlns:xm="http://schemas.microsoft.com/office/excel/2006/main">
          <x14:cfRule type="dataBar" id="{9A9F3E77-62BD-4925-AD96-C63EE6A7EA02}">
            <x14:dataBar minLength="0" maxLength="100" border="1" negativeBarBorderColorSameAsPositive="0">
              <x14:cfvo type="autoMin"/>
              <x14:cfvo type="autoMax"/>
              <x14:borderColor rgb="FF63C384"/>
              <x14:negativeFillColor rgb="FFFF0000"/>
              <x14:negativeBorderColor rgb="FFFF0000"/>
              <x14:axisColor rgb="FF000000"/>
            </x14:dataBar>
          </x14:cfRule>
          <xm:sqref>D74:D75</xm:sqref>
        </x14:conditionalFormatting>
        <x14:conditionalFormatting xmlns:xm="http://schemas.microsoft.com/office/excel/2006/main">
          <x14:cfRule type="dataBar" id="{B448E95B-C6F8-453E-A3AE-249FD402675F}">
            <x14:dataBar minLength="0" maxLength="100" border="1" negativeBarBorderColorSameAsPositive="0">
              <x14:cfvo type="autoMin"/>
              <x14:cfvo type="autoMax"/>
              <x14:borderColor rgb="FF63C384"/>
              <x14:negativeFillColor rgb="FFFF0000"/>
              <x14:negativeBorderColor rgb="FFFF0000"/>
              <x14:axisColor rgb="FF000000"/>
            </x14:dataBar>
          </x14:cfRule>
          <xm:sqref>H20:H48</xm:sqref>
        </x14:conditionalFormatting>
        <x14:conditionalFormatting xmlns:xm="http://schemas.microsoft.com/office/excel/2006/main">
          <x14:cfRule type="dataBar" id="{2A1A8D49-D5EF-4887-A5B3-2AB7ABDC1709}">
            <x14:dataBar minLength="0" maxLength="100" border="1" negativeBarBorderColorSameAsPositive="0">
              <x14:cfvo type="autoMin"/>
              <x14:cfvo type="autoMax"/>
              <x14:borderColor rgb="FF63C384"/>
              <x14:negativeFillColor rgb="FFFF0000"/>
              <x14:negativeBorderColor rgb="FFFF0000"/>
              <x14:axisColor rgb="FF000000"/>
            </x14:dataBar>
          </x14:cfRule>
          <xm:sqref>H53:H57</xm:sqref>
        </x14:conditionalFormatting>
        <x14:conditionalFormatting xmlns:xm="http://schemas.microsoft.com/office/excel/2006/main">
          <x14:cfRule type="dataBar" id="{ECAE5CCC-EF50-49AE-93EF-FD70ED20A078}">
            <x14:dataBar minLength="0" maxLength="100" border="1" negativeBarBorderColorSameAsPositive="0">
              <x14:cfvo type="autoMin"/>
              <x14:cfvo type="autoMax"/>
              <x14:borderColor rgb="FF63C384"/>
              <x14:negativeFillColor rgb="FFFF0000"/>
              <x14:negativeBorderColor rgb="FFFF0000"/>
              <x14:axisColor rgb="FF000000"/>
            </x14:dataBar>
          </x14:cfRule>
          <xm:sqref>H64:H67</xm:sqref>
        </x14:conditionalFormatting>
        <x14:conditionalFormatting xmlns:xm="http://schemas.microsoft.com/office/excel/2006/main">
          <x14:cfRule type="dataBar" id="{53A66F99-7791-46CD-89E7-7346DA69D8CA}">
            <x14:dataBar minLength="0" maxLength="100" border="1" negativeBarBorderColorSameAsPositive="0">
              <x14:cfvo type="autoMin"/>
              <x14:cfvo type="autoMax"/>
              <x14:borderColor rgb="FF63C384"/>
              <x14:negativeFillColor rgb="FFFF0000"/>
              <x14:negativeBorderColor rgb="FFFF0000"/>
              <x14:axisColor rgb="FF000000"/>
            </x14:dataBar>
          </x14:cfRule>
          <xm:sqref>H74:H75</xm:sqref>
        </x14:conditionalFormatting>
        <x14:conditionalFormatting xmlns:xm="http://schemas.microsoft.com/office/excel/2006/main">
          <x14:cfRule type="dataBar" id="{174E35D5-C436-4A14-886C-5B51743A4A33}">
            <x14:dataBar minLength="0" maxLength="100" border="1" negativeBarBorderColorSameAsPositive="0">
              <x14:cfvo type="autoMin"/>
              <x14:cfvo type="autoMax"/>
              <x14:borderColor rgb="FF63C384"/>
              <x14:negativeFillColor rgb="FFFF0000"/>
              <x14:negativeBorderColor rgb="FFFF0000"/>
              <x14:axisColor rgb="FF000000"/>
            </x14:dataBar>
          </x14:cfRule>
          <xm:sqref>L20:L48</xm:sqref>
        </x14:conditionalFormatting>
        <x14:conditionalFormatting xmlns:xm="http://schemas.microsoft.com/office/excel/2006/main">
          <x14:cfRule type="dataBar" id="{4F918F03-759B-40BA-A88B-680B640ED8F4}">
            <x14:dataBar minLength="0" maxLength="100" border="1" negativeBarBorderColorSameAsPositive="0">
              <x14:cfvo type="autoMin"/>
              <x14:cfvo type="autoMax"/>
              <x14:borderColor rgb="FF63C384"/>
              <x14:negativeFillColor rgb="FFFF0000"/>
              <x14:negativeBorderColor rgb="FFFF0000"/>
              <x14:axisColor rgb="FF000000"/>
            </x14:dataBar>
          </x14:cfRule>
          <xm:sqref>L53:L57</xm:sqref>
        </x14:conditionalFormatting>
        <x14:conditionalFormatting xmlns:xm="http://schemas.microsoft.com/office/excel/2006/main">
          <x14:cfRule type="dataBar" id="{1B7AB26F-0845-4547-BD62-D24C8DBDA6E0}">
            <x14:dataBar minLength="0" maxLength="100" border="1" negativeBarBorderColorSameAsPositive="0">
              <x14:cfvo type="autoMin"/>
              <x14:cfvo type="autoMax"/>
              <x14:borderColor rgb="FF63C384"/>
              <x14:negativeFillColor rgb="FFFF0000"/>
              <x14:negativeBorderColor rgb="FFFF0000"/>
              <x14:axisColor rgb="FF000000"/>
            </x14:dataBar>
          </x14:cfRule>
          <xm:sqref>L64:L67</xm:sqref>
        </x14:conditionalFormatting>
        <x14:conditionalFormatting xmlns:xm="http://schemas.microsoft.com/office/excel/2006/main">
          <x14:cfRule type="dataBar" id="{1258B422-5B4F-4689-A016-B7CC44E6DC3E}">
            <x14:dataBar minLength="0" maxLength="100" border="1" negativeBarBorderColorSameAsPositive="0">
              <x14:cfvo type="autoMin"/>
              <x14:cfvo type="autoMax"/>
              <x14:borderColor rgb="FF63C384"/>
              <x14:negativeFillColor rgb="FFFF0000"/>
              <x14:negativeBorderColor rgb="FFFF0000"/>
              <x14:axisColor rgb="FF000000"/>
            </x14:dataBar>
          </x14:cfRule>
          <xm:sqref>L74:L75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J40"/>
  <sheetViews>
    <sheetView zoomScale="80" zoomScaleNormal="80" workbookViewId="0">
      <selection activeCell="P14" sqref="P14:Q14"/>
    </sheetView>
  </sheetViews>
  <sheetFormatPr defaultColWidth="9.109375" defaultRowHeight="14.4"/>
  <cols>
    <col min="1" max="1" width="24.33203125" style="6" bestFit="1" customWidth="1"/>
    <col min="2" max="2" width="13.44140625" style="6" bestFit="1" customWidth="1"/>
    <col min="3" max="3" width="4.6640625" style="6" customWidth="1"/>
    <col min="4" max="4" width="17" style="6" customWidth="1"/>
    <col min="5" max="5" width="10.5546875" style="9" hidden="1" customWidth="1"/>
    <col min="6" max="6" width="10.5546875" style="9" customWidth="1"/>
    <col min="7" max="7" width="10.5546875" style="6" customWidth="1"/>
    <col min="8" max="8" width="4.6640625" style="6" customWidth="1"/>
    <col min="9" max="9" width="20" style="6" bestFit="1" customWidth="1"/>
    <col min="10" max="10" width="15.44140625" style="9" hidden="1" customWidth="1"/>
    <col min="11" max="11" width="10.5546875" style="9" customWidth="1"/>
    <col min="12" max="12" width="10.5546875" style="6" customWidth="1"/>
    <col min="13" max="13" width="4.6640625" style="6" customWidth="1"/>
    <col min="14" max="14" width="18.109375" style="6" bestFit="1" customWidth="1"/>
    <col min="15" max="15" width="13.5546875" style="10" hidden="1" customWidth="1"/>
    <col min="16" max="16" width="11.88671875" style="10" customWidth="1"/>
    <col min="17" max="17" width="12.44140625" style="10" bestFit="1" customWidth="1"/>
    <col min="18" max="18" width="10.5546875" style="6" customWidth="1"/>
    <col min="19" max="16384" width="9.109375" style="6"/>
  </cols>
  <sheetData>
    <row r="1" spans="1:18" ht="15" customHeight="1">
      <c r="A1" s="860" t="s">
        <v>385</v>
      </c>
      <c r="B1" s="861"/>
      <c r="C1" s="861"/>
      <c r="D1" s="861"/>
      <c r="E1" s="861"/>
      <c r="F1" s="861"/>
      <c r="G1" s="861"/>
      <c r="H1" s="861"/>
      <c r="I1" s="861"/>
      <c r="J1" s="861"/>
      <c r="K1" s="861"/>
      <c r="L1" s="861"/>
      <c r="M1" s="861"/>
      <c r="N1" s="861"/>
      <c r="O1" s="861"/>
      <c r="P1" s="861"/>
      <c r="Q1" s="861"/>
      <c r="R1" s="861"/>
    </row>
    <row r="2" spans="1:18" ht="15.75" customHeight="1">
      <c r="A2" s="860"/>
      <c r="B2" s="861"/>
      <c r="C2" s="861"/>
      <c r="D2" s="861"/>
      <c r="E2" s="861"/>
      <c r="F2" s="861"/>
      <c r="G2" s="861"/>
      <c r="H2" s="861"/>
      <c r="I2" s="861"/>
      <c r="J2" s="861"/>
      <c r="K2" s="861"/>
      <c r="L2" s="861"/>
      <c r="M2" s="861"/>
      <c r="N2" s="861"/>
      <c r="O2" s="861"/>
      <c r="P2" s="861"/>
      <c r="Q2" s="861"/>
      <c r="R2" s="861"/>
    </row>
    <row r="3" spans="1:18" ht="15" thickBot="1">
      <c r="A3" s="860"/>
      <c r="B3" s="861"/>
      <c r="C3" s="861"/>
      <c r="D3" s="861"/>
      <c r="E3" s="861"/>
      <c r="F3" s="861"/>
      <c r="G3" s="861"/>
      <c r="H3" s="861"/>
      <c r="I3" s="861"/>
      <c r="J3" s="861"/>
      <c r="K3" s="861"/>
      <c r="L3" s="861"/>
      <c r="M3" s="861"/>
      <c r="N3" s="861"/>
      <c r="O3" s="861"/>
      <c r="P3" s="861"/>
      <c r="Q3" s="861"/>
      <c r="R3" s="861"/>
    </row>
    <row r="4" spans="1:18" ht="34.5" customHeight="1" thickBot="1">
      <c r="A4" s="902" t="s">
        <v>657</v>
      </c>
      <c r="B4" s="903"/>
      <c r="C4" s="292"/>
      <c r="D4" s="293" t="s">
        <v>386</v>
      </c>
      <c r="E4" s="294" t="s">
        <v>12</v>
      </c>
      <c r="F4" s="293" t="s">
        <v>129</v>
      </c>
      <c r="G4" s="292" t="s">
        <v>132</v>
      </c>
      <c r="H4" s="292"/>
      <c r="I4" s="293" t="s">
        <v>387</v>
      </c>
      <c r="J4" s="294" t="s">
        <v>12</v>
      </c>
      <c r="K4" s="293" t="s">
        <v>129</v>
      </c>
      <c r="L4" s="292" t="s">
        <v>132</v>
      </c>
      <c r="M4" s="292"/>
      <c r="N4" s="293" t="s">
        <v>388</v>
      </c>
      <c r="O4" s="294" t="s">
        <v>12</v>
      </c>
      <c r="P4" s="294" t="s">
        <v>425</v>
      </c>
      <c r="Q4" s="293" t="s">
        <v>129</v>
      </c>
      <c r="R4" s="295" t="s">
        <v>132</v>
      </c>
    </row>
    <row r="5" spans="1:18" ht="18.75" customHeight="1">
      <c r="A5" s="21"/>
      <c r="B5" s="22"/>
      <c r="C5" s="22"/>
      <c r="D5" s="31" t="s">
        <v>146</v>
      </c>
      <c r="E5" s="23"/>
      <c r="F5" s="31" t="s">
        <v>146</v>
      </c>
      <c r="G5" s="24"/>
      <c r="H5" s="25"/>
      <c r="I5" s="31" t="s">
        <v>146</v>
      </c>
      <c r="J5" s="23"/>
      <c r="K5" s="31" t="s">
        <v>146</v>
      </c>
      <c r="L5" s="24"/>
      <c r="M5" s="25"/>
      <c r="N5" s="31" t="s">
        <v>146</v>
      </c>
      <c r="O5" s="174"/>
      <c r="P5" s="31" t="s">
        <v>146</v>
      </c>
      <c r="Q5" s="31" t="s">
        <v>146</v>
      </c>
      <c r="R5" s="287"/>
    </row>
    <row r="6" spans="1:18" ht="18.75" customHeight="1">
      <c r="A6" s="21" t="s">
        <v>389</v>
      </c>
      <c r="B6" s="22"/>
      <c r="C6" s="22"/>
      <c r="D6" s="379">
        <v>0</v>
      </c>
      <c r="E6" s="380">
        <v>80000</v>
      </c>
      <c r="F6" s="381">
        <v>0</v>
      </c>
      <c r="G6" s="26">
        <f>F6/E6*D6</f>
        <v>0</v>
      </c>
      <c r="H6" s="25"/>
      <c r="I6" s="379">
        <v>0</v>
      </c>
      <c r="J6" s="382">
        <v>140000</v>
      </c>
      <c r="K6" s="381">
        <v>0</v>
      </c>
      <c r="L6" s="26">
        <f>K6/J6*I6</f>
        <v>0</v>
      </c>
      <c r="M6" s="25"/>
      <c r="N6" s="379">
        <v>0</v>
      </c>
      <c r="O6" s="382">
        <v>50</v>
      </c>
      <c r="P6" s="381">
        <v>15000</v>
      </c>
      <c r="Q6" s="383">
        <v>0</v>
      </c>
      <c r="R6" s="27">
        <f>((Q6/P6)/O6)*N6</f>
        <v>0</v>
      </c>
    </row>
    <row r="7" spans="1:18" ht="18.75" customHeight="1" thickBot="1">
      <c r="A7"/>
      <c r="B7" s="22"/>
      <c r="C7" s="22"/>
      <c r="D7" s="28"/>
      <c r="E7" s="23"/>
      <c r="F7" s="23"/>
      <c r="G7" s="24"/>
      <c r="H7" s="25"/>
      <c r="I7" s="28"/>
      <c r="J7" s="23"/>
      <c r="K7" s="23"/>
      <c r="L7" s="24"/>
      <c r="M7" s="25"/>
      <c r="N7" s="28"/>
      <c r="O7" s="23"/>
      <c r="P7" s="29"/>
      <c r="Q7" s="29"/>
      <c r="R7" s="30"/>
    </row>
    <row r="8" spans="1:18" ht="18.75" customHeight="1" thickBot="1">
      <c r="A8" s="288" t="s">
        <v>652</v>
      </c>
      <c r="B8" s="289" t="s">
        <v>81</v>
      </c>
      <c r="C8" s="289"/>
      <c r="D8" s="289" t="s">
        <v>479</v>
      </c>
      <c r="E8" s="290" t="s">
        <v>294</v>
      </c>
      <c r="F8" s="290"/>
      <c r="G8" s="289" t="s">
        <v>132</v>
      </c>
      <c r="H8" s="289"/>
      <c r="I8" s="289" t="s">
        <v>480</v>
      </c>
      <c r="J8" s="290" t="s">
        <v>295</v>
      </c>
      <c r="K8" s="290"/>
      <c r="L8" s="289" t="s">
        <v>132</v>
      </c>
      <c r="M8" s="289"/>
      <c r="N8" s="289" t="s">
        <v>481</v>
      </c>
      <c r="O8" s="290" t="s">
        <v>296</v>
      </c>
      <c r="P8" s="899"/>
      <c r="Q8" s="899"/>
      <c r="R8" s="291" t="s">
        <v>132</v>
      </c>
    </row>
    <row r="9" spans="1:18" ht="18.75" customHeight="1">
      <c r="A9" s="21"/>
      <c r="B9" s="22"/>
      <c r="C9" s="22"/>
      <c r="D9" s="242" t="s">
        <v>146</v>
      </c>
      <c r="E9" s="240"/>
      <c r="F9" s="23"/>
      <c r="G9" s="24"/>
      <c r="H9" s="243"/>
      <c r="I9" s="242" t="s">
        <v>146</v>
      </c>
      <c r="J9" s="240"/>
      <c r="K9" s="23"/>
      <c r="L9" s="24"/>
      <c r="M9" s="243"/>
      <c r="N9" s="242" t="s">
        <v>146</v>
      </c>
      <c r="O9" s="286"/>
      <c r="P9" s="900"/>
      <c r="Q9" s="901"/>
      <c r="R9" s="287"/>
    </row>
    <row r="10" spans="1:18" ht="18.75" customHeight="1">
      <c r="A10" s="21" t="s">
        <v>97</v>
      </c>
      <c r="B10" s="22" t="s">
        <v>89</v>
      </c>
      <c r="C10" s="22"/>
      <c r="D10" s="384">
        <v>0</v>
      </c>
      <c r="E10" s="152">
        <f>'Crop Budget (Main)'!$C$11</f>
        <v>1</v>
      </c>
      <c r="F10" s="23"/>
      <c r="G10" s="24">
        <f>D10/E10</f>
        <v>0</v>
      </c>
      <c r="H10" s="243"/>
      <c r="I10" s="384">
        <v>0</v>
      </c>
      <c r="J10" s="152">
        <f>'Crop Budget (Main)'!$G$11</f>
        <v>1</v>
      </c>
      <c r="K10" s="23"/>
      <c r="L10" s="24">
        <f>I10/J10</f>
        <v>0</v>
      </c>
      <c r="M10" s="243"/>
      <c r="N10" s="384">
        <v>0</v>
      </c>
      <c r="O10" s="152">
        <f>'Crop Budget (Main)'!$K$11</f>
        <v>1</v>
      </c>
      <c r="P10" s="897"/>
      <c r="Q10" s="898"/>
      <c r="R10" s="30">
        <f>N10/O10</f>
        <v>0</v>
      </c>
    </row>
    <row r="11" spans="1:18" ht="18.75" customHeight="1">
      <c r="A11" s="21" t="s">
        <v>419</v>
      </c>
      <c r="B11" s="22" t="s">
        <v>89</v>
      </c>
      <c r="C11" s="22"/>
      <c r="D11" s="384">
        <v>0</v>
      </c>
      <c r="E11" s="152">
        <f>'Crop Budget (Main)'!$C$11</f>
        <v>1</v>
      </c>
      <c r="F11" s="23"/>
      <c r="G11" s="24">
        <f t="shared" ref="G11:G31" si="0">D11/E11</f>
        <v>0</v>
      </c>
      <c r="H11" s="243"/>
      <c r="I11" s="384">
        <v>0</v>
      </c>
      <c r="J11" s="152">
        <f>'Crop Budget (Main)'!$G$11</f>
        <v>1</v>
      </c>
      <c r="K11" s="23"/>
      <c r="L11" s="24">
        <f t="shared" ref="L11:L31" si="1">I11/J11</f>
        <v>0</v>
      </c>
      <c r="M11" s="243"/>
      <c r="N11" s="384">
        <v>0</v>
      </c>
      <c r="O11" s="152">
        <f>'Crop Budget (Main)'!$K$11</f>
        <v>1</v>
      </c>
      <c r="P11" s="897"/>
      <c r="Q11" s="898"/>
      <c r="R11" s="30">
        <f t="shared" ref="R11:R31" si="2">N11/O11</f>
        <v>0</v>
      </c>
    </row>
    <row r="12" spans="1:18" ht="18.75" customHeight="1">
      <c r="A12" s="21" t="s">
        <v>103</v>
      </c>
      <c r="B12" s="22" t="s">
        <v>89</v>
      </c>
      <c r="C12" s="22"/>
      <c r="D12" s="384">
        <v>0</v>
      </c>
      <c r="E12" s="152">
        <f>'Crop Budget (Main)'!$C$11</f>
        <v>1</v>
      </c>
      <c r="F12" s="23"/>
      <c r="G12" s="24">
        <f t="shared" si="0"/>
        <v>0</v>
      </c>
      <c r="H12" s="243"/>
      <c r="I12" s="384">
        <v>0</v>
      </c>
      <c r="J12" s="152">
        <f>'Crop Budget (Main)'!$G$11</f>
        <v>1</v>
      </c>
      <c r="K12" s="23"/>
      <c r="L12" s="24">
        <f t="shared" si="1"/>
        <v>0</v>
      </c>
      <c r="M12" s="243"/>
      <c r="N12" s="384">
        <v>0</v>
      </c>
      <c r="O12" s="152">
        <f>'Crop Budget (Main)'!$K$11</f>
        <v>1</v>
      </c>
      <c r="P12" s="897"/>
      <c r="Q12" s="898"/>
      <c r="R12" s="30">
        <f t="shared" si="2"/>
        <v>0</v>
      </c>
    </row>
    <row r="13" spans="1:18" ht="15.6">
      <c r="A13" s="21" t="s">
        <v>99</v>
      </c>
      <c r="B13" s="22"/>
      <c r="C13" s="22"/>
      <c r="D13" s="378"/>
      <c r="E13" s="152"/>
      <c r="F13" s="23"/>
      <c r="G13" s="24"/>
      <c r="H13" s="243"/>
      <c r="I13" s="378"/>
      <c r="J13" s="152"/>
      <c r="K13" s="23"/>
      <c r="L13" s="24"/>
      <c r="M13" s="243"/>
      <c r="N13" s="378"/>
      <c r="O13" s="152"/>
      <c r="P13" s="897"/>
      <c r="Q13" s="898"/>
      <c r="R13" s="30"/>
    </row>
    <row r="14" spans="1:18" ht="15.6">
      <c r="A14" s="32" t="s">
        <v>100</v>
      </c>
      <c r="B14" s="22" t="s">
        <v>89</v>
      </c>
      <c r="C14" s="22"/>
      <c r="D14" s="384">
        <v>0</v>
      </c>
      <c r="E14" s="152">
        <f>'Crop Budget (Main)'!$C$11</f>
        <v>1</v>
      </c>
      <c r="F14" s="23"/>
      <c r="G14" s="24">
        <f t="shared" si="0"/>
        <v>0</v>
      </c>
      <c r="H14" s="243"/>
      <c r="I14" s="384">
        <v>0</v>
      </c>
      <c r="J14" s="152">
        <f>'Crop Budget (Main)'!$G$11</f>
        <v>1</v>
      </c>
      <c r="K14" s="23"/>
      <c r="L14" s="24">
        <f t="shared" si="1"/>
        <v>0</v>
      </c>
      <c r="M14" s="243"/>
      <c r="N14" s="384">
        <v>0</v>
      </c>
      <c r="O14" s="152">
        <f>'Crop Budget (Main)'!$K$11</f>
        <v>1</v>
      </c>
      <c r="P14" s="897"/>
      <c r="Q14" s="898"/>
      <c r="R14" s="30">
        <f t="shared" si="2"/>
        <v>0</v>
      </c>
    </row>
    <row r="15" spans="1:18" ht="15.6">
      <c r="A15" s="32" t="s">
        <v>101</v>
      </c>
      <c r="B15" s="22" t="s">
        <v>89</v>
      </c>
      <c r="C15" s="22"/>
      <c r="D15" s="384">
        <v>0</v>
      </c>
      <c r="E15" s="152">
        <f>'Crop Budget (Main)'!$C$11</f>
        <v>1</v>
      </c>
      <c r="F15" s="23"/>
      <c r="G15" s="24">
        <f t="shared" si="0"/>
        <v>0</v>
      </c>
      <c r="H15" s="243"/>
      <c r="I15" s="384">
        <v>0</v>
      </c>
      <c r="J15" s="152">
        <f>'Crop Budget (Main)'!$G$11</f>
        <v>1</v>
      </c>
      <c r="K15" s="23"/>
      <c r="L15" s="24">
        <f t="shared" si="1"/>
        <v>0</v>
      </c>
      <c r="M15" s="243"/>
      <c r="N15" s="384">
        <v>0</v>
      </c>
      <c r="O15" s="152">
        <f>'Crop Budget (Main)'!$K$11</f>
        <v>1</v>
      </c>
      <c r="P15" s="897"/>
      <c r="Q15" s="898"/>
      <c r="R15" s="30">
        <f t="shared" si="2"/>
        <v>0</v>
      </c>
    </row>
    <row r="16" spans="1:18" ht="15.6">
      <c r="A16" s="21" t="s">
        <v>102</v>
      </c>
      <c r="D16" s="378"/>
      <c r="E16" s="152"/>
      <c r="F16" s="23"/>
      <c r="G16" s="24"/>
      <c r="H16" s="243"/>
      <c r="I16" s="378"/>
      <c r="J16" s="152"/>
      <c r="K16" s="23"/>
      <c r="L16" s="24"/>
      <c r="M16" s="243"/>
      <c r="N16" s="378"/>
      <c r="O16" s="152"/>
      <c r="P16" s="897"/>
      <c r="Q16" s="898"/>
      <c r="R16" s="30"/>
    </row>
    <row r="17" spans="1:18" ht="18.75" customHeight="1">
      <c r="A17" s="142" t="s">
        <v>420</v>
      </c>
      <c r="B17" s="22" t="s">
        <v>89</v>
      </c>
      <c r="C17" s="22"/>
      <c r="D17" s="384">
        <v>0</v>
      </c>
      <c r="E17" s="152">
        <f>'Crop Budget (Main)'!$C$11</f>
        <v>1</v>
      </c>
      <c r="F17" s="23"/>
      <c r="G17" s="24">
        <f t="shared" si="0"/>
        <v>0</v>
      </c>
      <c r="H17" s="243"/>
      <c r="I17" s="384">
        <v>0</v>
      </c>
      <c r="J17" s="152">
        <f>'Crop Budget (Main)'!$G$11</f>
        <v>1</v>
      </c>
      <c r="K17" s="23"/>
      <c r="L17" s="24">
        <f t="shared" si="1"/>
        <v>0</v>
      </c>
      <c r="M17" s="243"/>
      <c r="N17" s="384">
        <v>0</v>
      </c>
      <c r="O17" s="152">
        <f>'Crop Budget (Main)'!$K$11</f>
        <v>1</v>
      </c>
      <c r="P17" s="897"/>
      <c r="Q17" s="898"/>
      <c r="R17" s="30">
        <f t="shared" si="2"/>
        <v>0</v>
      </c>
    </row>
    <row r="18" spans="1:18" ht="18.75" customHeight="1">
      <c r="A18" s="142" t="s">
        <v>421</v>
      </c>
      <c r="B18" s="22" t="s">
        <v>89</v>
      </c>
      <c r="D18" s="384">
        <v>0</v>
      </c>
      <c r="E18" s="152">
        <f>'Crop Budget (Main)'!$C$11</f>
        <v>1</v>
      </c>
      <c r="F18" s="23"/>
      <c r="G18" s="24">
        <f t="shared" si="0"/>
        <v>0</v>
      </c>
      <c r="H18" s="243"/>
      <c r="I18" s="384">
        <v>0</v>
      </c>
      <c r="J18" s="152">
        <f>'Crop Budget (Main)'!$G$11</f>
        <v>1</v>
      </c>
      <c r="K18" s="23"/>
      <c r="L18" s="24">
        <f t="shared" si="1"/>
        <v>0</v>
      </c>
      <c r="M18" s="243"/>
      <c r="N18" s="384">
        <v>0</v>
      </c>
      <c r="O18" s="152">
        <f>'Crop Budget (Main)'!$K$11</f>
        <v>1</v>
      </c>
      <c r="P18" s="897"/>
      <c r="Q18" s="898"/>
      <c r="R18" s="30">
        <f t="shared" si="2"/>
        <v>0</v>
      </c>
    </row>
    <row r="19" spans="1:18" ht="18.75" customHeight="1">
      <c r="A19" s="21" t="s">
        <v>94</v>
      </c>
      <c r="B19" s="22"/>
      <c r="C19" s="22"/>
      <c r="D19" s="378"/>
      <c r="E19" s="152"/>
      <c r="F19" s="23"/>
      <c r="G19" s="24"/>
      <c r="H19" s="243"/>
      <c r="I19" s="378"/>
      <c r="J19" s="152"/>
      <c r="K19" s="23"/>
      <c r="L19" s="24"/>
      <c r="M19" s="243"/>
      <c r="N19" s="378"/>
      <c r="O19" s="152"/>
      <c r="P19" s="897"/>
      <c r="Q19" s="898"/>
      <c r="R19" s="30"/>
    </row>
    <row r="20" spans="1:18" ht="18.75" customHeight="1">
      <c r="A20" s="32" t="s">
        <v>95</v>
      </c>
      <c r="B20" s="22" t="s">
        <v>89</v>
      </c>
      <c r="C20" s="22"/>
      <c r="D20" s="384">
        <v>0</v>
      </c>
      <c r="E20" s="152">
        <f>'Crop Budget (Main)'!$C$11</f>
        <v>1</v>
      </c>
      <c r="F20" s="23"/>
      <c r="G20" s="24">
        <f t="shared" si="0"/>
        <v>0</v>
      </c>
      <c r="H20" s="243"/>
      <c r="I20" s="384">
        <v>0</v>
      </c>
      <c r="J20" s="152">
        <f>'Crop Budget (Main)'!$G$11</f>
        <v>1</v>
      </c>
      <c r="K20" s="23"/>
      <c r="L20" s="24">
        <f t="shared" si="1"/>
        <v>0</v>
      </c>
      <c r="M20" s="243"/>
      <c r="N20" s="384">
        <v>0</v>
      </c>
      <c r="O20" s="152">
        <f>'Crop Budget (Main)'!$K$11</f>
        <v>1</v>
      </c>
      <c r="P20" s="897"/>
      <c r="Q20" s="898"/>
      <c r="R20" s="30">
        <f t="shared" si="2"/>
        <v>0</v>
      </c>
    </row>
    <row r="21" spans="1:18" ht="18.75" customHeight="1">
      <c r="A21" s="32" t="s">
        <v>96</v>
      </c>
      <c r="B21" s="22" t="s">
        <v>89</v>
      </c>
      <c r="C21" s="22"/>
      <c r="D21" s="384">
        <v>0</v>
      </c>
      <c r="E21" s="152">
        <f>'Crop Budget (Main)'!$C$11</f>
        <v>1</v>
      </c>
      <c r="F21" s="23"/>
      <c r="G21" s="24">
        <f t="shared" si="0"/>
        <v>0</v>
      </c>
      <c r="H21" s="243"/>
      <c r="I21" s="384">
        <v>0</v>
      </c>
      <c r="J21" s="152">
        <f>'Crop Budget (Main)'!$G$11</f>
        <v>1</v>
      </c>
      <c r="K21" s="23"/>
      <c r="L21" s="24">
        <f t="shared" si="1"/>
        <v>0</v>
      </c>
      <c r="M21" s="243"/>
      <c r="N21" s="384">
        <v>0</v>
      </c>
      <c r="O21" s="152">
        <f>'Crop Budget (Main)'!$K$11</f>
        <v>1</v>
      </c>
      <c r="P21" s="897"/>
      <c r="Q21" s="898"/>
      <c r="R21" s="30">
        <f t="shared" si="2"/>
        <v>0</v>
      </c>
    </row>
    <row r="22" spans="1:18" ht="18.75" customHeight="1">
      <c r="A22" s="32" t="s">
        <v>293</v>
      </c>
      <c r="B22" s="22" t="s">
        <v>89</v>
      </c>
      <c r="C22" s="22"/>
      <c r="D22" s="384">
        <v>0</v>
      </c>
      <c r="E22" s="152">
        <f>'Crop Budget (Main)'!$C$11</f>
        <v>1</v>
      </c>
      <c r="F22" s="23"/>
      <c r="G22" s="24">
        <f t="shared" si="0"/>
        <v>0</v>
      </c>
      <c r="H22" s="243"/>
      <c r="I22" s="384">
        <v>0</v>
      </c>
      <c r="J22" s="152">
        <f>'Crop Budget (Main)'!$G$11</f>
        <v>1</v>
      </c>
      <c r="K22" s="23"/>
      <c r="L22" s="24">
        <f t="shared" si="1"/>
        <v>0</v>
      </c>
      <c r="M22" s="243"/>
      <c r="N22" s="384">
        <v>0</v>
      </c>
      <c r="O22" s="152">
        <f>'Crop Budget (Main)'!$K$11</f>
        <v>1</v>
      </c>
      <c r="P22" s="897"/>
      <c r="Q22" s="898"/>
      <c r="R22" s="30">
        <f t="shared" si="2"/>
        <v>0</v>
      </c>
    </row>
    <row r="23" spans="1:18" ht="18.75" customHeight="1">
      <c r="A23" s="21" t="s">
        <v>98</v>
      </c>
      <c r="B23" s="22" t="s">
        <v>89</v>
      </c>
      <c r="C23" s="22"/>
      <c r="D23" s="384">
        <v>0</v>
      </c>
      <c r="E23" s="152">
        <f>'Crop Budget (Main)'!$C$11</f>
        <v>1</v>
      </c>
      <c r="F23" s="23"/>
      <c r="G23" s="24">
        <f>D23/E23</f>
        <v>0</v>
      </c>
      <c r="H23" s="243"/>
      <c r="I23" s="384">
        <v>0</v>
      </c>
      <c r="J23" s="152">
        <f>'Crop Budget (Main)'!$G$11</f>
        <v>1</v>
      </c>
      <c r="K23" s="23"/>
      <c r="L23" s="24">
        <f t="shared" si="1"/>
        <v>0</v>
      </c>
      <c r="M23" s="243"/>
      <c r="N23" s="384">
        <v>0</v>
      </c>
      <c r="O23" s="152">
        <f>'Crop Budget (Main)'!$K$11</f>
        <v>1</v>
      </c>
      <c r="P23" s="897"/>
      <c r="Q23" s="898"/>
      <c r="R23" s="30">
        <f t="shared" si="2"/>
        <v>0</v>
      </c>
    </row>
    <row r="24" spans="1:18" ht="18.75" customHeight="1">
      <c r="A24" s="21" t="s">
        <v>104</v>
      </c>
      <c r="B24" s="22" t="s">
        <v>89</v>
      </c>
      <c r="C24" s="22"/>
      <c r="D24" s="384">
        <v>0</v>
      </c>
      <c r="E24" s="152">
        <f>'Crop Budget (Main)'!$C$11</f>
        <v>1</v>
      </c>
      <c r="F24" s="23"/>
      <c r="G24" s="24">
        <f t="shared" si="0"/>
        <v>0</v>
      </c>
      <c r="H24" s="243"/>
      <c r="I24" s="384">
        <v>0</v>
      </c>
      <c r="J24" s="152">
        <f>'Crop Budget (Main)'!$G$11</f>
        <v>1</v>
      </c>
      <c r="K24" s="23"/>
      <c r="L24" s="24">
        <f t="shared" si="1"/>
        <v>0</v>
      </c>
      <c r="M24" s="243"/>
      <c r="N24" s="384">
        <v>0</v>
      </c>
      <c r="O24" s="152">
        <f>'Crop Budget (Main)'!$K$11</f>
        <v>1</v>
      </c>
      <c r="P24" s="897"/>
      <c r="Q24" s="898"/>
      <c r="R24" s="30">
        <f t="shared" si="2"/>
        <v>0</v>
      </c>
    </row>
    <row r="25" spans="1:18" ht="18.75" customHeight="1">
      <c r="A25" s="21" t="s">
        <v>105</v>
      </c>
      <c r="B25" s="22" t="s">
        <v>89</v>
      </c>
      <c r="C25" s="22"/>
      <c r="D25" s="384">
        <v>0</v>
      </c>
      <c r="E25" s="152">
        <f>'Crop Budget (Main)'!$C$11</f>
        <v>1</v>
      </c>
      <c r="F25" s="23"/>
      <c r="G25" s="24">
        <f t="shared" si="0"/>
        <v>0</v>
      </c>
      <c r="H25" s="243"/>
      <c r="I25" s="384">
        <v>0</v>
      </c>
      <c r="J25" s="152">
        <f>'Crop Budget (Main)'!$G$11</f>
        <v>1</v>
      </c>
      <c r="K25" s="23"/>
      <c r="L25" s="24">
        <f t="shared" si="1"/>
        <v>0</v>
      </c>
      <c r="M25" s="243"/>
      <c r="N25" s="384">
        <v>0</v>
      </c>
      <c r="O25" s="152">
        <f>'Crop Budget (Main)'!$K$11</f>
        <v>1</v>
      </c>
      <c r="P25" s="897"/>
      <c r="Q25" s="898"/>
      <c r="R25" s="30">
        <f t="shared" si="2"/>
        <v>0</v>
      </c>
    </row>
    <row r="26" spans="1:18" ht="18.75" customHeight="1">
      <c r="A26" s="21" t="s">
        <v>106</v>
      </c>
      <c r="B26" s="22"/>
      <c r="C26" s="22"/>
      <c r="D26" s="378"/>
      <c r="E26" s="152"/>
      <c r="F26" s="23"/>
      <c r="G26" s="24"/>
      <c r="H26" s="243"/>
      <c r="I26" s="378"/>
      <c r="J26" s="152"/>
      <c r="K26" s="23"/>
      <c r="L26" s="24"/>
      <c r="M26" s="243"/>
      <c r="N26" s="378"/>
      <c r="O26" s="152"/>
      <c r="P26" s="897"/>
      <c r="Q26" s="898"/>
      <c r="R26" s="30"/>
    </row>
    <row r="27" spans="1:18" ht="18.75" customHeight="1">
      <c r="A27" s="32" t="s">
        <v>125</v>
      </c>
      <c r="B27" s="22" t="s">
        <v>89</v>
      </c>
      <c r="C27" s="22"/>
      <c r="D27" s="384">
        <v>0</v>
      </c>
      <c r="E27" s="152">
        <f>'Crop Budget (Main)'!$C$11</f>
        <v>1</v>
      </c>
      <c r="F27" s="23"/>
      <c r="G27" s="24">
        <f t="shared" si="0"/>
        <v>0</v>
      </c>
      <c r="H27" s="243"/>
      <c r="I27" s="384">
        <v>0</v>
      </c>
      <c r="J27" s="152">
        <f>'Crop Budget (Main)'!$G$11</f>
        <v>1</v>
      </c>
      <c r="K27" s="23"/>
      <c r="L27" s="24">
        <f t="shared" si="1"/>
        <v>0</v>
      </c>
      <c r="M27" s="243"/>
      <c r="N27" s="384">
        <v>0</v>
      </c>
      <c r="O27" s="152">
        <f>'Crop Budget (Main)'!$K$11</f>
        <v>1</v>
      </c>
      <c r="P27" s="897"/>
      <c r="Q27" s="898"/>
      <c r="R27" s="30">
        <f t="shared" si="2"/>
        <v>0</v>
      </c>
    </row>
    <row r="28" spans="1:18" ht="18.75" customHeight="1">
      <c r="A28" s="32" t="s">
        <v>126</v>
      </c>
      <c r="B28" s="22" t="s">
        <v>89</v>
      </c>
      <c r="C28" s="22"/>
      <c r="D28" s="384">
        <v>0</v>
      </c>
      <c r="E28" s="152">
        <f>'Crop Budget (Main)'!$C$11</f>
        <v>1</v>
      </c>
      <c r="F28" s="23"/>
      <c r="G28" s="24">
        <f t="shared" si="0"/>
        <v>0</v>
      </c>
      <c r="H28" s="243"/>
      <c r="I28" s="384">
        <v>0</v>
      </c>
      <c r="J28" s="152">
        <f>'Crop Budget (Main)'!$G$11</f>
        <v>1</v>
      </c>
      <c r="K28" s="23"/>
      <c r="L28" s="24">
        <f t="shared" si="1"/>
        <v>0</v>
      </c>
      <c r="M28" s="243"/>
      <c r="N28" s="384">
        <v>0</v>
      </c>
      <c r="O28" s="152">
        <f>'Crop Budget (Main)'!$K$11</f>
        <v>1</v>
      </c>
      <c r="P28" s="897"/>
      <c r="Q28" s="898"/>
      <c r="R28" s="30">
        <f t="shared" si="2"/>
        <v>0</v>
      </c>
    </row>
    <row r="29" spans="1:18" ht="18.75" customHeight="1">
      <c r="A29" s="21" t="s">
        <v>527</v>
      </c>
      <c r="B29" s="22" t="s">
        <v>89</v>
      </c>
      <c r="C29" s="22"/>
      <c r="D29" s="384">
        <v>0</v>
      </c>
      <c r="E29" s="152">
        <f>'Crop Budget (Main)'!$C$11</f>
        <v>1</v>
      </c>
      <c r="F29" s="23"/>
      <c r="G29" s="24">
        <f t="shared" si="0"/>
        <v>0</v>
      </c>
      <c r="H29" s="243"/>
      <c r="I29" s="384">
        <v>0</v>
      </c>
      <c r="J29" s="152">
        <f>'Crop Budget (Main)'!$G$11</f>
        <v>1</v>
      </c>
      <c r="K29" s="23"/>
      <c r="L29" s="24">
        <f t="shared" si="1"/>
        <v>0</v>
      </c>
      <c r="M29" s="243"/>
      <c r="N29" s="384">
        <v>0</v>
      </c>
      <c r="O29" s="152">
        <f>'Crop Budget (Main)'!$K$11</f>
        <v>1</v>
      </c>
      <c r="P29" s="897"/>
      <c r="Q29" s="898"/>
      <c r="R29" s="30">
        <f t="shared" si="2"/>
        <v>0</v>
      </c>
    </row>
    <row r="30" spans="1:18" ht="18.75" customHeight="1">
      <c r="A30" s="21" t="s">
        <v>525</v>
      </c>
      <c r="B30" s="22" t="s">
        <v>390</v>
      </c>
      <c r="C30" s="22"/>
      <c r="D30" s="384">
        <v>0</v>
      </c>
      <c r="E30" s="152">
        <f>'Crop Budget (Main)'!$C$11</f>
        <v>1</v>
      </c>
      <c r="F30" s="23"/>
      <c r="G30" s="24">
        <f t="shared" si="0"/>
        <v>0</v>
      </c>
      <c r="H30" s="243"/>
      <c r="I30" s="384">
        <v>0</v>
      </c>
      <c r="J30" s="152">
        <f>'Crop Budget (Main)'!$G$11</f>
        <v>1</v>
      </c>
      <c r="K30" s="23"/>
      <c r="L30" s="24">
        <f t="shared" si="1"/>
        <v>0</v>
      </c>
      <c r="M30" s="243"/>
      <c r="N30" s="384">
        <v>0</v>
      </c>
      <c r="O30" s="152">
        <f>'Crop Budget (Main)'!$K$11</f>
        <v>1</v>
      </c>
      <c r="P30" s="897"/>
      <c r="Q30" s="898"/>
      <c r="R30" s="30">
        <f t="shared" si="2"/>
        <v>0</v>
      </c>
    </row>
    <row r="31" spans="1:18" ht="18.75" customHeight="1">
      <c r="A31" s="21" t="s">
        <v>526</v>
      </c>
      <c r="B31" s="22" t="s">
        <v>89</v>
      </c>
      <c r="C31" s="22"/>
      <c r="D31" s="384">
        <v>0</v>
      </c>
      <c r="E31" s="152">
        <f>'Crop Budget (Main)'!$C$11</f>
        <v>1</v>
      </c>
      <c r="F31" s="23"/>
      <c r="G31" s="24">
        <f t="shared" si="0"/>
        <v>0</v>
      </c>
      <c r="H31" s="243"/>
      <c r="I31" s="384">
        <v>0</v>
      </c>
      <c r="J31" s="152">
        <f>'Crop Budget (Main)'!$G$11</f>
        <v>1</v>
      </c>
      <c r="K31" s="23"/>
      <c r="L31" s="24">
        <f t="shared" si="1"/>
        <v>0</v>
      </c>
      <c r="M31" s="243"/>
      <c r="N31" s="384">
        <v>0</v>
      </c>
      <c r="O31" s="152">
        <f>'Crop Budget (Main)'!$K$11</f>
        <v>1</v>
      </c>
      <c r="P31" s="897"/>
      <c r="Q31" s="898"/>
      <c r="R31" s="30">
        <f t="shared" si="2"/>
        <v>0</v>
      </c>
    </row>
    <row r="32" spans="1:18" ht="18.75" customHeight="1" thickBot="1">
      <c r="A32" s="21"/>
      <c r="B32" s="22"/>
      <c r="C32" s="22"/>
      <c r="D32" s="241"/>
      <c r="E32" s="144"/>
      <c r="F32" s="145"/>
      <c r="G32" s="24"/>
      <c r="H32" s="73"/>
      <c r="I32" s="241"/>
      <c r="J32" s="144"/>
      <c r="K32" s="145"/>
      <c r="L32" s="24"/>
      <c r="M32" s="73"/>
      <c r="N32" s="241"/>
      <c r="O32" s="144"/>
      <c r="P32" s="897"/>
      <c r="Q32" s="898"/>
      <c r="R32" s="30"/>
    </row>
    <row r="33" spans="1:36" ht="18.75" customHeight="1" thickBot="1">
      <c r="A33" s="288" t="s">
        <v>656</v>
      </c>
      <c r="B33" s="289" t="s">
        <v>81</v>
      </c>
      <c r="C33" s="289"/>
      <c r="D33" s="296" t="s">
        <v>302</v>
      </c>
      <c r="E33" s="290" t="s">
        <v>294</v>
      </c>
      <c r="F33" s="290"/>
      <c r="G33" s="289" t="s">
        <v>132</v>
      </c>
      <c r="H33" s="289"/>
      <c r="I33" s="296" t="s">
        <v>303</v>
      </c>
      <c r="J33" s="290" t="s">
        <v>295</v>
      </c>
      <c r="K33" s="290"/>
      <c r="L33" s="289" t="s">
        <v>132</v>
      </c>
      <c r="M33" s="289"/>
      <c r="N33" s="296" t="s">
        <v>304</v>
      </c>
      <c r="O33" s="290" t="s">
        <v>296</v>
      </c>
      <c r="P33" s="899"/>
      <c r="Q33" s="899"/>
      <c r="R33" s="291" t="s">
        <v>132</v>
      </c>
    </row>
    <row r="34" spans="1:36" ht="18.75" customHeight="1">
      <c r="A34" s="21"/>
      <c r="B34" s="22"/>
      <c r="C34" s="22"/>
      <c r="D34" s="242" t="s">
        <v>146</v>
      </c>
      <c r="E34" s="240"/>
      <c r="F34" s="23"/>
      <c r="G34" s="24"/>
      <c r="H34" s="243"/>
      <c r="I34" s="242" t="s">
        <v>146</v>
      </c>
      <c r="J34" s="240"/>
      <c r="K34" s="23"/>
      <c r="L34" s="24"/>
      <c r="M34" s="243"/>
      <c r="N34" s="242" t="s">
        <v>146</v>
      </c>
      <c r="O34" s="286"/>
      <c r="P34" s="900"/>
      <c r="Q34" s="901"/>
      <c r="R34" s="287"/>
      <c r="S34" s="101"/>
      <c r="T34" s="61"/>
      <c r="U34" s="61"/>
      <c r="V34" s="61"/>
      <c r="W34" s="103"/>
      <c r="X34" s="103"/>
      <c r="Y34" s="61"/>
      <c r="Z34" s="61"/>
      <c r="AA34" s="61"/>
      <c r="AB34" s="103"/>
      <c r="AC34" s="103"/>
      <c r="AD34" s="61"/>
      <c r="AE34" s="61"/>
      <c r="AF34" s="61"/>
      <c r="AG34" s="103"/>
      <c r="AH34" s="103"/>
      <c r="AI34" s="103"/>
      <c r="AJ34" s="143"/>
    </row>
    <row r="35" spans="1:36" ht="18.75" customHeight="1">
      <c r="A35" s="21" t="s">
        <v>422</v>
      </c>
      <c r="B35" s="22" t="s">
        <v>89</v>
      </c>
      <c r="C35" s="22"/>
      <c r="D35" s="384">
        <v>0</v>
      </c>
      <c r="E35" s="152">
        <f>'Crop Budget (Main)'!$C$11</f>
        <v>1</v>
      </c>
      <c r="F35" s="23"/>
      <c r="G35" s="24">
        <f t="shared" ref="G35:G36" si="3">D35/E35</f>
        <v>0</v>
      </c>
      <c r="H35" s="243"/>
      <c r="I35" s="384">
        <v>0</v>
      </c>
      <c r="J35" s="152">
        <f>'Crop Budget (Main)'!$G$11</f>
        <v>1</v>
      </c>
      <c r="K35" s="23"/>
      <c r="L35" s="24">
        <f t="shared" ref="L35:L36" si="4">I35/J35</f>
        <v>0</v>
      </c>
      <c r="M35" s="243"/>
      <c r="N35" s="384">
        <v>0</v>
      </c>
      <c r="O35" s="152">
        <f>'Crop Budget (Main)'!$K$11</f>
        <v>1</v>
      </c>
      <c r="P35" s="897"/>
      <c r="Q35" s="898"/>
      <c r="R35" s="30">
        <f t="shared" ref="R35:R36" si="5">N35/O35</f>
        <v>0</v>
      </c>
    </row>
    <row r="36" spans="1:36" ht="18.75" customHeight="1">
      <c r="A36" s="21" t="s">
        <v>107</v>
      </c>
      <c r="B36" s="22" t="s">
        <v>89</v>
      </c>
      <c r="C36" s="22"/>
      <c r="D36" s="384">
        <v>0</v>
      </c>
      <c r="E36" s="152">
        <f>'Crop Budget (Main)'!$C$11</f>
        <v>1</v>
      </c>
      <c r="F36" s="23"/>
      <c r="G36" s="24">
        <f t="shared" si="3"/>
        <v>0</v>
      </c>
      <c r="H36" s="243"/>
      <c r="I36" s="384">
        <v>0</v>
      </c>
      <c r="J36" s="152">
        <f>'Crop Budget (Main)'!$G$11</f>
        <v>1</v>
      </c>
      <c r="K36" s="23"/>
      <c r="L36" s="24">
        <f t="shared" si="4"/>
        <v>0</v>
      </c>
      <c r="M36" s="243"/>
      <c r="N36" s="384">
        <v>0</v>
      </c>
      <c r="O36" s="152">
        <f>'Crop Budget (Main)'!$K$11</f>
        <v>1</v>
      </c>
      <c r="P36" s="897"/>
      <c r="Q36" s="898"/>
      <c r="R36" s="30">
        <f t="shared" si="5"/>
        <v>0</v>
      </c>
    </row>
    <row r="37" spans="1:36" ht="18.75" customHeight="1">
      <c r="A37" s="21" t="s">
        <v>297</v>
      </c>
      <c r="B37" s="22" t="s">
        <v>89</v>
      </c>
      <c r="C37" s="22"/>
      <c r="D37" s="384">
        <v>0</v>
      </c>
      <c r="E37" s="152">
        <f>'Crop Budget (Main)'!$C$11</f>
        <v>1</v>
      </c>
      <c r="F37" s="23"/>
      <c r="G37" s="24">
        <f>D37/E37</f>
        <v>0</v>
      </c>
      <c r="H37" s="243"/>
      <c r="I37" s="384">
        <v>0</v>
      </c>
      <c r="J37" s="152">
        <f>'Crop Budget (Main)'!$G$11</f>
        <v>1</v>
      </c>
      <c r="K37" s="23"/>
      <c r="L37" s="24">
        <f>I37/J37</f>
        <v>0</v>
      </c>
      <c r="M37" s="243"/>
      <c r="N37" s="384">
        <v>0</v>
      </c>
      <c r="O37" s="152">
        <f>'Crop Budget (Main)'!$K$11</f>
        <v>1</v>
      </c>
      <c r="P37" s="897"/>
      <c r="Q37" s="898"/>
      <c r="R37" s="30">
        <f>N37/O37</f>
        <v>0</v>
      </c>
    </row>
    <row r="38" spans="1:36" ht="18.75" customHeight="1" thickBot="1">
      <c r="A38" s="33" t="s">
        <v>526</v>
      </c>
      <c r="B38" s="34" t="s">
        <v>89</v>
      </c>
      <c r="C38" s="34"/>
      <c r="D38" s="385">
        <v>0</v>
      </c>
      <c r="E38" s="319">
        <f>'Crop Budget (Main)'!$C$11</f>
        <v>1</v>
      </c>
      <c r="F38" s="146"/>
      <c r="G38" s="147">
        <f>D38/E38</f>
        <v>0</v>
      </c>
      <c r="H38" s="244"/>
      <c r="I38" s="385">
        <v>0</v>
      </c>
      <c r="J38" s="319">
        <f>'Crop Budget (Main)'!$G$11</f>
        <v>1</v>
      </c>
      <c r="K38" s="146"/>
      <c r="L38" s="147">
        <f>I38/J38</f>
        <v>0</v>
      </c>
      <c r="M38" s="244"/>
      <c r="N38" s="385">
        <v>0</v>
      </c>
      <c r="O38" s="319">
        <f>'Crop Budget (Main)'!$K$11</f>
        <v>1</v>
      </c>
      <c r="P38" s="895"/>
      <c r="Q38" s="896"/>
      <c r="R38" s="148">
        <f>N38/O38</f>
        <v>0</v>
      </c>
    </row>
    <row r="40" spans="1:36">
      <c r="A40" s="297" t="s">
        <v>482</v>
      </c>
    </row>
  </sheetData>
  <sheetProtection sheet="1" objects="1" scenarios="1"/>
  <mergeCells count="33">
    <mergeCell ref="P14:Q14"/>
    <mergeCell ref="P15:Q15"/>
    <mergeCell ref="P16:Q16"/>
    <mergeCell ref="P17:Q17"/>
    <mergeCell ref="A1:R3"/>
    <mergeCell ref="P9:Q9"/>
    <mergeCell ref="P10:Q10"/>
    <mergeCell ref="P11:Q11"/>
    <mergeCell ref="P12:Q12"/>
    <mergeCell ref="P8:Q8"/>
    <mergeCell ref="P13:Q13"/>
    <mergeCell ref="A4:B4"/>
    <mergeCell ref="P32:Q32"/>
    <mergeCell ref="P37:Q37"/>
    <mergeCell ref="P36:Q36"/>
    <mergeCell ref="P34:Q34"/>
    <mergeCell ref="P31:Q31"/>
    <mergeCell ref="P38:Q38"/>
    <mergeCell ref="P18:Q18"/>
    <mergeCell ref="P19:Q19"/>
    <mergeCell ref="P20:Q20"/>
    <mergeCell ref="P21:Q21"/>
    <mergeCell ref="P22:Q22"/>
    <mergeCell ref="P23:Q23"/>
    <mergeCell ref="P24:Q24"/>
    <mergeCell ref="P25:Q25"/>
    <mergeCell ref="P26:Q26"/>
    <mergeCell ref="P27:Q27"/>
    <mergeCell ref="P30:Q30"/>
    <mergeCell ref="P33:Q33"/>
    <mergeCell ref="P28:Q28"/>
    <mergeCell ref="P29:Q29"/>
    <mergeCell ref="P35:Q35"/>
  </mergeCells>
  <conditionalFormatting sqref="G10:G31 L10:L31 R10:R31">
    <cfRule type="dataBar" priority="438">
      <dataBar>
        <cfvo type="min"/>
        <cfvo type="max"/>
        <color rgb="FF63C384"/>
      </dataBar>
    </cfRule>
  </conditionalFormatting>
  <conditionalFormatting sqref="G35:G38 L35:L38 R35:R38">
    <cfRule type="dataBar" priority="573">
      <dataBar>
        <cfvo type="min"/>
        <cfvo type="max"/>
        <color rgb="FF63C384"/>
      </dataBar>
    </cfRule>
  </conditionalFormatting>
  <conditionalFormatting sqref="G7:H7">
    <cfRule type="dataBar" priority="496">
      <dataBar>
        <cfvo type="min"/>
        <cfvo type="max"/>
        <color rgb="FF63C384"/>
      </dataBar>
    </cfRule>
  </conditionalFormatting>
  <conditionalFormatting sqref="G9:H9">
    <cfRule type="dataBar" priority="39">
      <dataBar>
        <cfvo type="min"/>
        <cfvo type="max"/>
        <color rgb="FF63C384"/>
      </dataBar>
    </cfRule>
  </conditionalFormatting>
  <conditionalFormatting sqref="G34:H34">
    <cfRule type="dataBar" priority="4">
      <dataBar>
        <cfvo type="min"/>
        <cfvo type="max"/>
        <color rgb="FF63C384"/>
      </dataBar>
    </cfRule>
  </conditionalFormatting>
  <conditionalFormatting sqref="H6">
    <cfRule type="dataBar" priority="411">
      <dataBar>
        <cfvo type="min"/>
        <cfvo type="max"/>
        <color rgb="FF63C384"/>
      </dataBar>
    </cfRule>
  </conditionalFormatting>
  <conditionalFormatting sqref="H19">
    <cfRule type="dataBar" priority="51">
      <dataBar>
        <cfvo type="min"/>
        <cfvo type="max"/>
        <color rgb="FF63C384"/>
      </dataBar>
    </cfRule>
  </conditionalFormatting>
  <conditionalFormatting sqref="L32 G32 R32">
    <cfRule type="dataBar" priority="567">
      <dataBar>
        <cfvo type="min"/>
        <cfvo type="max"/>
        <color rgb="FF63C384"/>
      </dataBar>
    </cfRule>
  </conditionalFormatting>
  <conditionalFormatting sqref="L7:M7">
    <cfRule type="dataBar" priority="497">
      <dataBar>
        <cfvo type="min"/>
        <cfvo type="max"/>
        <color rgb="FF63C384"/>
      </dataBar>
    </cfRule>
  </conditionalFormatting>
  <conditionalFormatting sqref="L9:M9">
    <cfRule type="dataBar" priority="40">
      <dataBar>
        <cfvo type="min"/>
        <cfvo type="max"/>
        <color rgb="FF63C384"/>
      </dataBar>
    </cfRule>
  </conditionalFormatting>
  <conditionalFormatting sqref="L34:M34">
    <cfRule type="dataBar" priority="5">
      <dataBar>
        <cfvo type="min"/>
        <cfvo type="max"/>
        <color rgb="FF63C384"/>
      </dataBar>
    </cfRule>
  </conditionalFormatting>
  <conditionalFormatting sqref="M6">
    <cfRule type="dataBar" priority="412">
      <dataBar>
        <cfvo type="min"/>
        <cfvo type="max"/>
        <color rgb="FF63C384"/>
      </dataBar>
    </cfRule>
  </conditionalFormatting>
  <conditionalFormatting sqref="M19">
    <cfRule type="dataBar" priority="52">
      <dataBar>
        <cfvo type="min"/>
        <cfvo type="max"/>
        <color rgb="FF63C384"/>
      </dataBar>
    </cfRule>
  </conditionalFormatting>
  <conditionalFormatting sqref="R6 L6 G6">
    <cfRule type="dataBar" priority="393">
      <dataBar>
        <cfvo type="min"/>
        <cfvo type="max"/>
        <color rgb="FF63C384"/>
      </dataBar>
    </cfRule>
  </conditionalFormatting>
  <conditionalFormatting sqref="R7">
    <cfRule type="dataBar" priority="498">
      <dataBar>
        <cfvo type="min"/>
        <cfvo type="max"/>
        <color rgb="FF63C384"/>
      </dataBar>
    </cfRule>
  </conditionalFormatting>
  <pageMargins left="0.7" right="0.7" top="0.75" bottom="0.75" header="0.3" footer="0.3"/>
  <pageSetup scale="53"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B84"/>
  <sheetViews>
    <sheetView zoomScale="90" zoomScaleNormal="90" workbookViewId="0">
      <pane ySplit="1" topLeftCell="A52" activePane="bottomLeft" state="frozen"/>
      <selection pane="bottomLeft" activeCell="B32" sqref="B32"/>
    </sheetView>
  </sheetViews>
  <sheetFormatPr defaultColWidth="9.109375" defaultRowHeight="14.4"/>
  <cols>
    <col min="1" max="1" width="30.6640625" style="6" customWidth="1"/>
    <col min="2" max="2" width="11.6640625" style="6" customWidth="1"/>
    <col min="3" max="3" width="18.44140625" style="6" hidden="1" customWidth="1"/>
    <col min="4" max="4" width="18.6640625" style="6" customWidth="1"/>
    <col min="5" max="5" width="12.44140625" style="6" hidden="1" customWidth="1"/>
    <col min="6" max="6" width="14.44140625" style="6" bestFit="1" customWidth="1"/>
    <col min="7" max="7" width="7.33203125" style="20" customWidth="1"/>
    <col min="8" max="8" width="10.88671875" style="6" customWidth="1"/>
    <col min="9" max="9" width="8.88671875" style="6" customWidth="1"/>
    <col min="10" max="10" width="8.6640625" style="6" customWidth="1"/>
    <col min="11" max="11" width="33.33203125" style="6" customWidth="1"/>
    <col min="12" max="12" width="11.6640625" style="6" customWidth="1"/>
    <col min="13" max="13" width="18.44140625" style="6" hidden="1" customWidth="1"/>
    <col min="14" max="14" width="18.6640625" style="6" customWidth="1"/>
    <col min="15" max="15" width="12.44140625" style="6" hidden="1" customWidth="1"/>
    <col min="16" max="16" width="14.44140625" style="6" bestFit="1" customWidth="1"/>
    <col min="17" max="17" width="7.33203125" style="20" customWidth="1"/>
    <col min="18" max="18" width="10.88671875" style="6" customWidth="1"/>
    <col min="19" max="20" width="8.6640625" style="6" customWidth="1"/>
    <col min="21" max="21" width="30.6640625" style="6" customWidth="1"/>
    <col min="22" max="22" width="11.6640625" style="6" customWidth="1"/>
    <col min="23" max="23" width="18.44140625" style="6" hidden="1" customWidth="1"/>
    <col min="24" max="24" width="18.6640625" style="6" customWidth="1"/>
    <col min="25" max="25" width="12.44140625" style="6" hidden="1" customWidth="1"/>
    <col min="26" max="26" width="14.44140625" style="6" customWidth="1"/>
    <col min="27" max="27" width="7.33203125" style="20" customWidth="1"/>
    <col min="28" max="28" width="10.88671875" style="6" customWidth="1"/>
    <col min="29" max="16384" width="9.109375" style="6"/>
  </cols>
  <sheetData>
    <row r="1" spans="1:28" ht="25.8">
      <c r="A1" s="842" t="s">
        <v>76</v>
      </c>
      <c r="B1" s="843"/>
      <c r="C1" s="843"/>
      <c r="D1" s="843"/>
      <c r="E1" s="843"/>
      <c r="F1" s="843"/>
      <c r="G1" s="843"/>
      <c r="H1" s="844"/>
      <c r="I1" s="136"/>
      <c r="J1" s="137"/>
      <c r="K1" s="842" t="s">
        <v>130</v>
      </c>
      <c r="L1" s="843"/>
      <c r="M1" s="843"/>
      <c r="N1" s="843"/>
      <c r="O1" s="843"/>
      <c r="P1" s="843"/>
      <c r="Q1" s="843"/>
      <c r="R1" s="844"/>
      <c r="S1" s="137"/>
      <c r="T1" s="137"/>
      <c r="U1" s="842" t="s">
        <v>131</v>
      </c>
      <c r="V1" s="843"/>
      <c r="W1" s="843"/>
      <c r="X1" s="843"/>
      <c r="Y1" s="843"/>
      <c r="Z1" s="843"/>
      <c r="AA1" s="843"/>
      <c r="AB1" s="844"/>
    </row>
    <row r="2" spans="1:28" ht="16.2" thickBot="1">
      <c r="A2" s="36"/>
      <c r="B2" s="37"/>
      <c r="C2" s="37"/>
      <c r="D2" s="38"/>
      <c r="E2" s="39"/>
      <c r="F2" s="39"/>
      <c r="G2" s="37"/>
      <c r="H2" s="58"/>
      <c r="I2" s="2"/>
      <c r="J2" s="2"/>
      <c r="K2" s="36"/>
      <c r="L2" s="37"/>
      <c r="M2" s="37"/>
      <c r="N2" s="38"/>
      <c r="O2" s="39"/>
      <c r="P2" s="39"/>
      <c r="Q2" s="37"/>
      <c r="R2" s="58"/>
      <c r="S2" s="2"/>
      <c r="T2" s="2"/>
      <c r="U2" s="36"/>
      <c r="V2" s="37"/>
      <c r="W2" s="37"/>
      <c r="X2" s="38"/>
      <c r="Y2" s="39"/>
      <c r="Z2" s="39"/>
      <c r="AA2" s="37"/>
      <c r="AB2" s="58"/>
    </row>
    <row r="3" spans="1:28" ht="16.2" thickBot="1">
      <c r="A3" s="905" t="s">
        <v>157</v>
      </c>
      <c r="B3" s="906"/>
      <c r="C3" s="906"/>
      <c r="D3" s="906"/>
      <c r="E3" s="906"/>
      <c r="F3" s="906"/>
      <c r="G3" s="906"/>
      <c r="H3" s="907"/>
      <c r="I3" s="61"/>
      <c r="J3" s="2"/>
      <c r="K3" s="905" t="s">
        <v>157</v>
      </c>
      <c r="L3" s="906"/>
      <c r="M3" s="906"/>
      <c r="N3" s="906"/>
      <c r="O3" s="906"/>
      <c r="P3" s="906"/>
      <c r="Q3" s="906"/>
      <c r="R3" s="907"/>
      <c r="S3" s="2"/>
      <c r="T3" s="2"/>
      <c r="U3" s="905" t="s">
        <v>157</v>
      </c>
      <c r="V3" s="906"/>
      <c r="W3" s="906"/>
      <c r="X3" s="906"/>
      <c r="Y3" s="906"/>
      <c r="Z3" s="906"/>
      <c r="AA3" s="906"/>
      <c r="AB3" s="907"/>
    </row>
    <row r="4" spans="1:28" ht="31.2">
      <c r="A4" s="110" t="s">
        <v>117</v>
      </c>
      <c r="B4" s="111" t="s">
        <v>220</v>
      </c>
      <c r="C4" s="112" t="s">
        <v>118</v>
      </c>
      <c r="D4" s="111" t="s">
        <v>119</v>
      </c>
      <c r="E4" s="112" t="s">
        <v>12</v>
      </c>
      <c r="F4" s="112" t="s">
        <v>120</v>
      </c>
      <c r="G4" s="111" t="s">
        <v>300</v>
      </c>
      <c r="H4" s="113" t="s">
        <v>121</v>
      </c>
      <c r="I4" s="114"/>
      <c r="J4" s="2"/>
      <c r="K4" s="110" t="s">
        <v>117</v>
      </c>
      <c r="L4" s="111" t="s">
        <v>220</v>
      </c>
      <c r="M4" s="112" t="s">
        <v>118</v>
      </c>
      <c r="N4" s="111" t="s">
        <v>119</v>
      </c>
      <c r="O4" s="112" t="s">
        <v>12</v>
      </c>
      <c r="P4" s="112" t="s">
        <v>120</v>
      </c>
      <c r="Q4" s="111" t="s">
        <v>300</v>
      </c>
      <c r="R4" s="113" t="s">
        <v>121</v>
      </c>
      <c r="S4" s="2"/>
      <c r="T4" s="2"/>
      <c r="U4" s="110" t="s">
        <v>117</v>
      </c>
      <c r="V4" s="111" t="s">
        <v>220</v>
      </c>
      <c r="W4" s="112" t="s">
        <v>118</v>
      </c>
      <c r="X4" s="111" t="s">
        <v>119</v>
      </c>
      <c r="Y4" s="112" t="s">
        <v>12</v>
      </c>
      <c r="Z4" s="112" t="s">
        <v>120</v>
      </c>
      <c r="AA4" s="111" t="s">
        <v>300</v>
      </c>
      <c r="AB4" s="113" t="s">
        <v>121</v>
      </c>
    </row>
    <row r="5" spans="1:28" ht="15.6">
      <c r="A5" s="115" t="s">
        <v>414</v>
      </c>
      <c r="B5" s="116"/>
      <c r="C5" s="57"/>
      <c r="D5" s="77" t="s">
        <v>146</v>
      </c>
      <c r="E5" s="139"/>
      <c r="F5" s="77" t="s">
        <v>146</v>
      </c>
      <c r="G5" s="39"/>
      <c r="H5" s="118"/>
      <c r="I5" s="119"/>
      <c r="J5" s="60"/>
      <c r="K5" s="115" t="s">
        <v>414</v>
      </c>
      <c r="L5" s="116"/>
      <c r="M5" s="19"/>
      <c r="N5" s="76" t="s">
        <v>146</v>
      </c>
      <c r="O5" s="120"/>
      <c r="P5" s="76" t="s">
        <v>146</v>
      </c>
      <c r="Q5" s="39"/>
      <c r="R5" s="118"/>
      <c r="S5" s="60"/>
      <c r="T5" s="60"/>
      <c r="U5" s="115" t="s">
        <v>414</v>
      </c>
      <c r="V5" s="116"/>
      <c r="W5" s="19"/>
      <c r="X5" s="76" t="s">
        <v>146</v>
      </c>
      <c r="Y5" s="120"/>
      <c r="Z5" s="76" t="s">
        <v>146</v>
      </c>
      <c r="AA5" s="39"/>
      <c r="AB5" s="118"/>
    </row>
    <row r="6" spans="1:28" ht="15.6">
      <c r="A6" s="386" t="s">
        <v>13</v>
      </c>
      <c r="B6" s="44">
        <f t="shared" ref="B6:B11" si="0">VLOOKUP($A6,CornPreChemicals,6,FALSE)</f>
        <v>0</v>
      </c>
      <c r="C6" s="15" t="str">
        <f t="shared" ref="C6:C11" si="1">VLOOKUP($A6,CornPreChemicals,4,FALSE)</f>
        <v>None</v>
      </c>
      <c r="D6" s="387">
        <v>0</v>
      </c>
      <c r="E6" s="577">
        <f t="shared" ref="E6:E11" si="2">VLOOKUP($A6,CornPreChemicals,3,FALSE)</f>
        <v>1</v>
      </c>
      <c r="F6" s="388">
        <v>0</v>
      </c>
      <c r="G6" s="44">
        <f t="shared" ref="G6:G11" si="3">VLOOKUP($A6,CornPreChemicals,2,FALSE)</f>
        <v>0</v>
      </c>
      <c r="H6" s="46">
        <f>F6/E6*D6</f>
        <v>0</v>
      </c>
      <c r="I6" s="17"/>
      <c r="J6" s="60"/>
      <c r="K6" s="386" t="s">
        <v>13</v>
      </c>
      <c r="L6" s="44">
        <f t="shared" ref="L6:L11" si="4">VLOOKUP(K6,SoybeanPreChemicals,6,FALSE)</f>
        <v>0</v>
      </c>
      <c r="M6" s="15" t="str">
        <f t="shared" ref="M6:M11" si="5">VLOOKUP(K6,SoybeanPreChemicals,4,FALSE)</f>
        <v>None</v>
      </c>
      <c r="N6" s="387">
        <v>0</v>
      </c>
      <c r="O6" s="578">
        <f t="shared" ref="O6:O11" si="6">VLOOKUP(K6,SoybeanPreChemicals,3,FALSE)</f>
        <v>1</v>
      </c>
      <c r="P6" s="388">
        <v>0</v>
      </c>
      <c r="Q6" s="44">
        <f t="shared" ref="Q6:Q11" si="7">VLOOKUP(K6,SoybeanPreChemicals,2,FALSE)</f>
        <v>0</v>
      </c>
      <c r="R6" s="46">
        <f>P6/O6*N6</f>
        <v>0</v>
      </c>
      <c r="S6" s="60"/>
      <c r="T6" s="60"/>
      <c r="U6" s="386" t="s">
        <v>13</v>
      </c>
      <c r="V6" s="44">
        <f t="shared" ref="V6:V11" si="8">VLOOKUP(U6,WheatChemicals,6,FALSE)</f>
        <v>0</v>
      </c>
      <c r="W6" s="15" t="str">
        <f t="shared" ref="W6:W11" si="9">VLOOKUP(U6,WheatChemicals,4,FALSE)</f>
        <v>None</v>
      </c>
      <c r="X6" s="387">
        <v>0</v>
      </c>
      <c r="Y6" s="578">
        <f t="shared" ref="Y6:Y11" si="10">VLOOKUP(U6,WheatChemicals,3,FALSE)</f>
        <v>1</v>
      </c>
      <c r="Z6" s="388">
        <v>0</v>
      </c>
      <c r="AA6" s="44">
        <f t="shared" ref="AA6:AA11" si="11">VLOOKUP(U6,WheatChemicals,2,FALSE)</f>
        <v>0</v>
      </c>
      <c r="AB6" s="46">
        <f>Z6/Y6*X6</f>
        <v>0</v>
      </c>
    </row>
    <row r="7" spans="1:28" ht="15.6">
      <c r="A7" s="386" t="s">
        <v>13</v>
      </c>
      <c r="B7" s="44">
        <f t="shared" si="0"/>
        <v>0</v>
      </c>
      <c r="C7" s="15" t="str">
        <f t="shared" si="1"/>
        <v>None</v>
      </c>
      <c r="D7" s="387">
        <v>0</v>
      </c>
      <c r="E7" s="577">
        <f t="shared" si="2"/>
        <v>1</v>
      </c>
      <c r="F7" s="388">
        <v>0</v>
      </c>
      <c r="G7" s="44">
        <f t="shared" si="3"/>
        <v>0</v>
      </c>
      <c r="H7" s="46">
        <f t="shared" ref="H7:H11" si="12">F7/E7*D7</f>
        <v>0</v>
      </c>
      <c r="I7" s="17"/>
      <c r="J7" s="60"/>
      <c r="K7" s="386" t="s">
        <v>13</v>
      </c>
      <c r="L7" s="44">
        <f t="shared" si="4"/>
        <v>0</v>
      </c>
      <c r="M7" s="15" t="str">
        <f t="shared" si="5"/>
        <v>None</v>
      </c>
      <c r="N7" s="387">
        <v>0</v>
      </c>
      <c r="O7" s="578">
        <f t="shared" si="6"/>
        <v>1</v>
      </c>
      <c r="P7" s="388">
        <v>0</v>
      </c>
      <c r="Q7" s="44">
        <f t="shared" si="7"/>
        <v>0</v>
      </c>
      <c r="R7" s="46">
        <f t="shared" ref="R7:R11" si="13">P7/O7*N7</f>
        <v>0</v>
      </c>
      <c r="S7" s="60"/>
      <c r="T7" s="60"/>
      <c r="U7" s="386" t="s">
        <v>13</v>
      </c>
      <c r="V7" s="44">
        <f t="shared" si="8"/>
        <v>0</v>
      </c>
      <c r="W7" s="15" t="str">
        <f t="shared" si="9"/>
        <v>None</v>
      </c>
      <c r="X7" s="387">
        <v>0</v>
      </c>
      <c r="Y7" s="578">
        <f t="shared" si="10"/>
        <v>1</v>
      </c>
      <c r="Z7" s="388">
        <v>0</v>
      </c>
      <c r="AA7" s="44">
        <f t="shared" si="11"/>
        <v>0</v>
      </c>
      <c r="AB7" s="46">
        <f t="shared" ref="AB7:AB11" si="14">Z7/Y7*X7</f>
        <v>0</v>
      </c>
    </row>
    <row r="8" spans="1:28" ht="15.6">
      <c r="A8" s="386" t="s">
        <v>13</v>
      </c>
      <c r="B8" s="44">
        <f t="shared" si="0"/>
        <v>0</v>
      </c>
      <c r="C8" s="15" t="str">
        <f t="shared" si="1"/>
        <v>None</v>
      </c>
      <c r="D8" s="387">
        <v>0</v>
      </c>
      <c r="E8" s="577">
        <f t="shared" si="2"/>
        <v>1</v>
      </c>
      <c r="F8" s="388">
        <v>0</v>
      </c>
      <c r="G8" s="44">
        <f t="shared" si="3"/>
        <v>0</v>
      </c>
      <c r="H8" s="46">
        <f t="shared" si="12"/>
        <v>0</v>
      </c>
      <c r="I8" s="17"/>
      <c r="J8" s="60"/>
      <c r="K8" s="386" t="s">
        <v>13</v>
      </c>
      <c r="L8" s="44">
        <f t="shared" si="4"/>
        <v>0</v>
      </c>
      <c r="M8" s="15" t="str">
        <f t="shared" si="5"/>
        <v>None</v>
      </c>
      <c r="N8" s="387">
        <v>0</v>
      </c>
      <c r="O8" s="578">
        <f t="shared" si="6"/>
        <v>1</v>
      </c>
      <c r="P8" s="388">
        <v>0</v>
      </c>
      <c r="Q8" s="44">
        <f t="shared" si="7"/>
        <v>0</v>
      </c>
      <c r="R8" s="46">
        <f t="shared" si="13"/>
        <v>0</v>
      </c>
      <c r="S8" s="60"/>
      <c r="T8" s="60"/>
      <c r="U8" s="386" t="s">
        <v>13</v>
      </c>
      <c r="V8" s="44">
        <f t="shared" si="8"/>
        <v>0</v>
      </c>
      <c r="W8" s="15" t="str">
        <f t="shared" si="9"/>
        <v>None</v>
      </c>
      <c r="X8" s="387">
        <v>0</v>
      </c>
      <c r="Y8" s="578">
        <f t="shared" si="10"/>
        <v>1</v>
      </c>
      <c r="Z8" s="388">
        <v>0</v>
      </c>
      <c r="AA8" s="44">
        <f t="shared" si="11"/>
        <v>0</v>
      </c>
      <c r="AB8" s="46">
        <f t="shared" si="14"/>
        <v>0</v>
      </c>
    </row>
    <row r="9" spans="1:28" ht="15.6">
      <c r="A9" s="386" t="s">
        <v>13</v>
      </c>
      <c r="B9" s="44">
        <f t="shared" si="0"/>
        <v>0</v>
      </c>
      <c r="C9" s="15" t="str">
        <f t="shared" si="1"/>
        <v>None</v>
      </c>
      <c r="D9" s="387">
        <v>0</v>
      </c>
      <c r="E9" s="577">
        <f t="shared" si="2"/>
        <v>1</v>
      </c>
      <c r="F9" s="388">
        <v>0</v>
      </c>
      <c r="G9" s="44">
        <f t="shared" si="3"/>
        <v>0</v>
      </c>
      <c r="H9" s="46">
        <f t="shared" ref="H9" si="15">F9/E9*D9</f>
        <v>0</v>
      </c>
      <c r="I9" s="17"/>
      <c r="J9" s="60"/>
      <c r="K9" s="386" t="s">
        <v>13</v>
      </c>
      <c r="L9" s="44">
        <f t="shared" si="4"/>
        <v>0</v>
      </c>
      <c r="M9" s="15" t="str">
        <f t="shared" si="5"/>
        <v>None</v>
      </c>
      <c r="N9" s="387">
        <v>0</v>
      </c>
      <c r="O9" s="578">
        <f t="shared" si="6"/>
        <v>1</v>
      </c>
      <c r="P9" s="388">
        <v>0</v>
      </c>
      <c r="Q9" s="44">
        <f t="shared" si="7"/>
        <v>0</v>
      </c>
      <c r="R9" s="46">
        <f t="shared" ref="R9" si="16">P9/O9*N9</f>
        <v>0</v>
      </c>
      <c r="S9" s="60"/>
      <c r="T9" s="60"/>
      <c r="U9" s="386" t="s">
        <v>13</v>
      </c>
      <c r="V9" s="44">
        <f t="shared" si="8"/>
        <v>0</v>
      </c>
      <c r="W9" s="15" t="str">
        <f t="shared" si="9"/>
        <v>None</v>
      </c>
      <c r="X9" s="387">
        <v>0</v>
      </c>
      <c r="Y9" s="578">
        <f t="shared" si="10"/>
        <v>1</v>
      </c>
      <c r="Z9" s="388">
        <v>0</v>
      </c>
      <c r="AA9" s="44">
        <f t="shared" si="11"/>
        <v>0</v>
      </c>
      <c r="AB9" s="46">
        <f t="shared" ref="AB9" si="17">Z9/Y9*X9</f>
        <v>0</v>
      </c>
    </row>
    <row r="10" spans="1:28" ht="15.6">
      <c r="A10" s="386" t="s">
        <v>13</v>
      </c>
      <c r="B10" s="44">
        <f t="shared" si="0"/>
        <v>0</v>
      </c>
      <c r="C10" s="15" t="str">
        <f t="shared" si="1"/>
        <v>None</v>
      </c>
      <c r="D10" s="387">
        <v>0</v>
      </c>
      <c r="E10" s="577">
        <f t="shared" si="2"/>
        <v>1</v>
      </c>
      <c r="F10" s="388">
        <v>0</v>
      </c>
      <c r="G10" s="44">
        <f t="shared" si="3"/>
        <v>0</v>
      </c>
      <c r="H10" s="46">
        <f t="shared" si="12"/>
        <v>0</v>
      </c>
      <c r="I10" s="17"/>
      <c r="J10" s="60"/>
      <c r="K10" s="386" t="s">
        <v>13</v>
      </c>
      <c r="L10" s="44">
        <f t="shared" si="4"/>
        <v>0</v>
      </c>
      <c r="M10" s="15" t="str">
        <f t="shared" si="5"/>
        <v>None</v>
      </c>
      <c r="N10" s="387">
        <v>0</v>
      </c>
      <c r="O10" s="578">
        <f t="shared" si="6"/>
        <v>1</v>
      </c>
      <c r="P10" s="388">
        <v>0</v>
      </c>
      <c r="Q10" s="44">
        <f t="shared" si="7"/>
        <v>0</v>
      </c>
      <c r="R10" s="46">
        <f t="shared" si="13"/>
        <v>0</v>
      </c>
      <c r="S10" s="60"/>
      <c r="T10" s="60"/>
      <c r="U10" s="386" t="s">
        <v>13</v>
      </c>
      <c r="V10" s="44">
        <f t="shared" si="8"/>
        <v>0</v>
      </c>
      <c r="W10" s="15" t="str">
        <f t="shared" si="9"/>
        <v>None</v>
      </c>
      <c r="X10" s="387">
        <v>0</v>
      </c>
      <c r="Y10" s="578">
        <f t="shared" si="10"/>
        <v>1</v>
      </c>
      <c r="Z10" s="388">
        <v>0</v>
      </c>
      <c r="AA10" s="44">
        <f t="shared" si="11"/>
        <v>0</v>
      </c>
      <c r="AB10" s="46">
        <f t="shared" si="14"/>
        <v>0</v>
      </c>
    </row>
    <row r="11" spans="1:28" ht="15.6">
      <c r="A11" s="386" t="s">
        <v>13</v>
      </c>
      <c r="B11" s="44">
        <f t="shared" si="0"/>
        <v>0</v>
      </c>
      <c r="C11" s="15" t="str">
        <f t="shared" si="1"/>
        <v>None</v>
      </c>
      <c r="D11" s="387">
        <v>0</v>
      </c>
      <c r="E11" s="577">
        <f t="shared" si="2"/>
        <v>1</v>
      </c>
      <c r="F11" s="388">
        <v>0</v>
      </c>
      <c r="G11" s="44">
        <f t="shared" si="3"/>
        <v>0</v>
      </c>
      <c r="H11" s="46">
        <f t="shared" si="12"/>
        <v>0</v>
      </c>
      <c r="I11" s="17"/>
      <c r="J11" s="60"/>
      <c r="K11" s="386" t="s">
        <v>13</v>
      </c>
      <c r="L11" s="44">
        <f t="shared" si="4"/>
        <v>0</v>
      </c>
      <c r="M11" s="15" t="str">
        <f t="shared" si="5"/>
        <v>None</v>
      </c>
      <c r="N11" s="387">
        <v>0</v>
      </c>
      <c r="O11" s="578">
        <f t="shared" si="6"/>
        <v>1</v>
      </c>
      <c r="P11" s="388">
        <v>0</v>
      </c>
      <c r="Q11" s="44">
        <f t="shared" si="7"/>
        <v>0</v>
      </c>
      <c r="R11" s="46">
        <f t="shared" si="13"/>
        <v>0</v>
      </c>
      <c r="S11" s="60"/>
      <c r="T11" s="60"/>
      <c r="U11" s="386" t="s">
        <v>13</v>
      </c>
      <c r="V11" s="44">
        <f t="shared" si="8"/>
        <v>0</v>
      </c>
      <c r="W11" s="15" t="str">
        <f t="shared" si="9"/>
        <v>None</v>
      </c>
      <c r="X11" s="387">
        <v>0</v>
      </c>
      <c r="Y11" s="578">
        <f t="shared" si="10"/>
        <v>1</v>
      </c>
      <c r="Z11" s="388">
        <v>0</v>
      </c>
      <c r="AA11" s="44">
        <f t="shared" si="11"/>
        <v>0</v>
      </c>
      <c r="AB11" s="46">
        <f t="shared" si="14"/>
        <v>0</v>
      </c>
    </row>
    <row r="12" spans="1:28" ht="15.6">
      <c r="A12" s="48"/>
      <c r="B12" s="49"/>
      <c r="C12" s="50"/>
      <c r="D12" s="121"/>
      <c r="E12" s="123"/>
      <c r="F12" s="122"/>
      <c r="G12" s="8"/>
      <c r="H12" s="46"/>
      <c r="I12" s="17"/>
      <c r="J12" s="60"/>
      <c r="K12" s="48"/>
      <c r="L12" s="49"/>
      <c r="M12" s="50"/>
      <c r="N12" s="121"/>
      <c r="O12" s="123"/>
      <c r="P12" s="122"/>
      <c r="Q12" s="8"/>
      <c r="R12" s="46"/>
      <c r="S12" s="60"/>
      <c r="T12" s="60"/>
      <c r="U12" s="48"/>
      <c r="V12" s="49"/>
      <c r="W12" s="50"/>
      <c r="X12" s="121"/>
      <c r="Y12" s="123"/>
      <c r="Z12" s="122"/>
      <c r="AA12" s="8"/>
      <c r="AB12" s="46"/>
    </row>
    <row r="13" spans="1:28" ht="15.6">
      <c r="A13" s="124" t="s">
        <v>415</v>
      </c>
      <c r="B13" s="116"/>
      <c r="C13" s="19"/>
      <c r="D13" s="77" t="s">
        <v>146</v>
      </c>
      <c r="E13" s="140"/>
      <c r="F13" s="75" t="s">
        <v>146</v>
      </c>
      <c r="G13" s="39"/>
      <c r="H13" s="118"/>
      <c r="I13" s="119"/>
      <c r="J13" s="60"/>
      <c r="K13" s="124" t="s">
        <v>415</v>
      </c>
      <c r="L13" s="116"/>
      <c r="M13" s="19"/>
      <c r="N13" s="76" t="s">
        <v>146</v>
      </c>
      <c r="O13" s="18"/>
      <c r="P13" s="76" t="s">
        <v>146</v>
      </c>
      <c r="Q13" s="39"/>
      <c r="R13" s="118"/>
      <c r="S13" s="60"/>
      <c r="T13" s="60"/>
      <c r="U13" s="124" t="s">
        <v>415</v>
      </c>
      <c r="V13" s="117"/>
      <c r="W13" s="19"/>
      <c r="X13" s="76" t="s">
        <v>146</v>
      </c>
      <c r="Y13" s="120"/>
      <c r="Z13" s="76" t="s">
        <v>146</v>
      </c>
      <c r="AA13" s="39"/>
      <c r="AB13" s="118"/>
    </row>
    <row r="14" spans="1:28" ht="15.6">
      <c r="A14" s="386" t="s">
        <v>13</v>
      </c>
      <c r="B14" s="125"/>
      <c r="C14" s="15" t="str">
        <f>VLOOKUP($A14,CornAdjuvants,4,FALSE)</f>
        <v>None</v>
      </c>
      <c r="D14" s="387">
        <v>0</v>
      </c>
      <c r="E14" s="578">
        <f>VLOOKUP($A14,CornAdjuvants,3,FALSE)</f>
        <v>1</v>
      </c>
      <c r="F14" s="388">
        <v>0</v>
      </c>
      <c r="G14" s="44">
        <f>VLOOKUP($A14,CornAdjuvants,2,FALSE)</f>
        <v>0</v>
      </c>
      <c r="H14" s="46">
        <f>F14/E14*D14</f>
        <v>0</v>
      </c>
      <c r="I14" s="17"/>
      <c r="J14" s="60"/>
      <c r="K14" s="386" t="s">
        <v>13</v>
      </c>
      <c r="L14" s="125"/>
      <c r="M14" s="15" t="str">
        <f>VLOOKUP($K14,CornAdjuvants,4,FALSE)</f>
        <v>None</v>
      </c>
      <c r="N14" s="387">
        <v>0</v>
      </c>
      <c r="O14" s="578">
        <f>VLOOKUP($K14,CornAdjuvants,3,FALSE)</f>
        <v>1</v>
      </c>
      <c r="P14" s="388">
        <v>0</v>
      </c>
      <c r="Q14" s="44">
        <f>VLOOKUP($K14,CornAdjuvants,2,FALSE)</f>
        <v>0</v>
      </c>
      <c r="R14" s="46">
        <f>P14/O14*N14</f>
        <v>0</v>
      </c>
      <c r="S14" s="60"/>
      <c r="T14" s="60"/>
      <c r="U14" s="386" t="s">
        <v>13</v>
      </c>
      <c r="V14" s="125"/>
      <c r="W14" s="15" t="str">
        <f>VLOOKUP(U14,CornAdjuvants,4,FALSE)</f>
        <v>None</v>
      </c>
      <c r="X14" s="387">
        <v>0</v>
      </c>
      <c r="Y14" s="578">
        <f>VLOOKUP(U14,CornAdjuvants,3,FALSE)</f>
        <v>1</v>
      </c>
      <c r="Z14" s="388">
        <v>0</v>
      </c>
      <c r="AA14" s="44">
        <f>VLOOKUP(U14,CornAdjuvants,2,FALSE)</f>
        <v>0</v>
      </c>
      <c r="AB14" s="46">
        <f>Z14/Y14*X14</f>
        <v>0</v>
      </c>
    </row>
    <row r="15" spans="1:28" ht="15.6">
      <c r="A15" s="386" t="s">
        <v>13</v>
      </c>
      <c r="B15" s="125"/>
      <c r="C15" s="15" t="str">
        <f>VLOOKUP($A15,CornAdjuvants,4,FALSE)</f>
        <v>None</v>
      </c>
      <c r="D15" s="387">
        <v>0</v>
      </c>
      <c r="E15" s="578">
        <f>VLOOKUP($A15,CornAdjuvants,3,FALSE)</f>
        <v>1</v>
      </c>
      <c r="F15" s="388">
        <v>0</v>
      </c>
      <c r="G15" s="44">
        <f>VLOOKUP($A15,CornAdjuvants,2,FALSE)</f>
        <v>0</v>
      </c>
      <c r="H15" s="46">
        <f t="shared" ref="H15:H18" si="18">F15/E15*D15</f>
        <v>0</v>
      </c>
      <c r="I15" s="17"/>
      <c r="J15" s="60"/>
      <c r="K15" s="386" t="s">
        <v>13</v>
      </c>
      <c r="L15" s="125"/>
      <c r="M15" s="15" t="str">
        <f>VLOOKUP($K15,CornAdjuvants,4,FALSE)</f>
        <v>None</v>
      </c>
      <c r="N15" s="387">
        <v>0</v>
      </c>
      <c r="O15" s="578">
        <f>VLOOKUP($K15,CornAdjuvants,3,FALSE)</f>
        <v>1</v>
      </c>
      <c r="P15" s="388">
        <v>0</v>
      </c>
      <c r="Q15" s="44">
        <f>VLOOKUP($K15,CornAdjuvants,2,FALSE)</f>
        <v>0</v>
      </c>
      <c r="R15" s="46">
        <f t="shared" ref="R15:R18" si="19">P15/O15*N15</f>
        <v>0</v>
      </c>
      <c r="S15" s="60"/>
      <c r="T15" s="60"/>
      <c r="U15" s="386" t="s">
        <v>13</v>
      </c>
      <c r="V15" s="125"/>
      <c r="W15" s="15" t="str">
        <f>VLOOKUP(U15,CornAdjuvants,4,FALSE)</f>
        <v>None</v>
      </c>
      <c r="X15" s="387">
        <v>0</v>
      </c>
      <c r="Y15" s="578">
        <f>VLOOKUP(U15,CornAdjuvants,3,FALSE)</f>
        <v>1</v>
      </c>
      <c r="Z15" s="388">
        <v>0</v>
      </c>
      <c r="AA15" s="44">
        <f>VLOOKUP(U15,CornAdjuvants,2,FALSE)</f>
        <v>0</v>
      </c>
      <c r="AB15" s="46">
        <f t="shared" ref="AB15:AB18" si="20">Z15/Y15*X15</f>
        <v>0</v>
      </c>
    </row>
    <row r="16" spans="1:28" ht="15.6">
      <c r="A16" s="386" t="s">
        <v>13</v>
      </c>
      <c r="B16" s="125"/>
      <c r="C16" s="15" t="str">
        <f>VLOOKUP($A16,CornAdjuvants,4,FALSE)</f>
        <v>None</v>
      </c>
      <c r="D16" s="387">
        <v>0</v>
      </c>
      <c r="E16" s="578">
        <f>VLOOKUP($A16,CornAdjuvants,3,FALSE)</f>
        <v>1</v>
      </c>
      <c r="F16" s="388">
        <v>0</v>
      </c>
      <c r="G16" s="44">
        <f>VLOOKUP($A16,CornAdjuvants,2,FALSE)</f>
        <v>0</v>
      </c>
      <c r="H16" s="46">
        <f t="shared" si="18"/>
        <v>0</v>
      </c>
      <c r="I16" s="17"/>
      <c r="J16" s="332" t="s">
        <v>429</v>
      </c>
      <c r="K16" s="386" t="s">
        <v>13</v>
      </c>
      <c r="L16" s="125"/>
      <c r="M16" s="15" t="str">
        <f>VLOOKUP($K16,CornAdjuvants,4,FALSE)</f>
        <v>None</v>
      </c>
      <c r="N16" s="387">
        <v>0</v>
      </c>
      <c r="O16" s="578">
        <f>VLOOKUP($K16,CornAdjuvants,3,FALSE)</f>
        <v>1</v>
      </c>
      <c r="P16" s="388">
        <v>0</v>
      </c>
      <c r="Q16" s="44">
        <f>VLOOKUP($K16,CornAdjuvants,2,FALSE)</f>
        <v>0</v>
      </c>
      <c r="R16" s="46">
        <f t="shared" si="19"/>
        <v>0</v>
      </c>
      <c r="S16" s="60"/>
      <c r="T16" s="332" t="s">
        <v>429</v>
      </c>
      <c r="U16" s="386" t="s">
        <v>13</v>
      </c>
      <c r="V16" s="125"/>
      <c r="W16" s="15" t="str">
        <f>VLOOKUP(U16,CornAdjuvants,4,FALSE)</f>
        <v>None</v>
      </c>
      <c r="X16" s="387">
        <v>0</v>
      </c>
      <c r="Y16" s="578">
        <f>VLOOKUP(U16,CornAdjuvants,3,FALSE)</f>
        <v>1</v>
      </c>
      <c r="Z16" s="388">
        <v>0</v>
      </c>
      <c r="AA16" s="44">
        <f>VLOOKUP(U16,CornAdjuvants,2,FALSE)</f>
        <v>0</v>
      </c>
      <c r="AB16" s="46">
        <f t="shared" si="20"/>
        <v>0</v>
      </c>
    </row>
    <row r="17" spans="1:28" ht="15.6">
      <c r="A17" s="386" t="s">
        <v>13</v>
      </c>
      <c r="B17" s="125"/>
      <c r="C17" s="15" t="str">
        <f>VLOOKUP($A17,CornAdjuvants,4,FALSE)</f>
        <v>None</v>
      </c>
      <c r="D17" s="387">
        <v>0</v>
      </c>
      <c r="E17" s="578">
        <f>VLOOKUP($A17,CornAdjuvants,3,FALSE)</f>
        <v>1</v>
      </c>
      <c r="F17" s="388">
        <v>0</v>
      </c>
      <c r="G17" s="44">
        <f>VLOOKUP($A17,CornAdjuvants,2,FALSE)</f>
        <v>0</v>
      </c>
      <c r="H17" s="46">
        <f t="shared" si="18"/>
        <v>0</v>
      </c>
      <c r="I17" s="17"/>
      <c r="J17" s="332" t="s">
        <v>430</v>
      </c>
      <c r="K17" s="386" t="s">
        <v>13</v>
      </c>
      <c r="L17" s="125"/>
      <c r="M17" s="15" t="str">
        <f>VLOOKUP($K17,CornAdjuvants,4,FALSE)</f>
        <v>None</v>
      </c>
      <c r="N17" s="387">
        <v>0</v>
      </c>
      <c r="O17" s="578">
        <f>VLOOKUP($K17,CornAdjuvants,3,FALSE)</f>
        <v>1</v>
      </c>
      <c r="P17" s="388">
        <v>0</v>
      </c>
      <c r="Q17" s="44">
        <f>VLOOKUP($K17,CornAdjuvants,2,FALSE)</f>
        <v>0</v>
      </c>
      <c r="R17" s="46">
        <f t="shared" si="19"/>
        <v>0</v>
      </c>
      <c r="S17" s="60"/>
      <c r="T17" s="332" t="s">
        <v>430</v>
      </c>
      <c r="U17" s="386" t="s">
        <v>13</v>
      </c>
      <c r="V17" s="125"/>
      <c r="W17" s="15" t="str">
        <f>VLOOKUP(U17,CornAdjuvants,4,FALSE)</f>
        <v>None</v>
      </c>
      <c r="X17" s="387">
        <v>0</v>
      </c>
      <c r="Y17" s="578">
        <f>VLOOKUP(U17,CornAdjuvants,3,FALSE)</f>
        <v>1</v>
      </c>
      <c r="Z17" s="388">
        <v>0</v>
      </c>
      <c r="AA17" s="44">
        <f>VLOOKUP(U17,CornAdjuvants,2,FALSE)</f>
        <v>0</v>
      </c>
      <c r="AB17" s="46">
        <f t="shared" si="20"/>
        <v>0</v>
      </c>
    </row>
    <row r="18" spans="1:28" ht="15.6">
      <c r="A18" s="386" t="s">
        <v>13</v>
      </c>
      <c r="B18" s="125"/>
      <c r="C18" s="15" t="str">
        <f>VLOOKUP($A18,CornAdjuvants,4,FALSE)</f>
        <v>None</v>
      </c>
      <c r="D18" s="387">
        <v>0</v>
      </c>
      <c r="E18" s="578">
        <f>VLOOKUP($A18,CornAdjuvants,3,FALSE)</f>
        <v>1</v>
      </c>
      <c r="F18" s="388">
        <v>0</v>
      </c>
      <c r="G18" s="44">
        <f>VLOOKUP($A18,CornAdjuvants,2,FALSE)</f>
        <v>0</v>
      </c>
      <c r="H18" s="46">
        <f t="shared" si="18"/>
        <v>0</v>
      </c>
      <c r="I18" s="17"/>
      <c r="J18" s="908" t="s">
        <v>428</v>
      </c>
      <c r="K18" s="386" t="s">
        <v>13</v>
      </c>
      <c r="L18" s="125"/>
      <c r="M18" s="15" t="str">
        <f>VLOOKUP($K18,CornAdjuvants,4,FALSE)</f>
        <v>None</v>
      </c>
      <c r="N18" s="387">
        <v>0</v>
      </c>
      <c r="O18" s="578">
        <f>VLOOKUP($K18,CornAdjuvants,3,FALSE)</f>
        <v>1</v>
      </c>
      <c r="P18" s="388">
        <v>0</v>
      </c>
      <c r="Q18" s="44">
        <f>VLOOKUP($K18,CornAdjuvants,2,FALSE)</f>
        <v>0</v>
      </c>
      <c r="R18" s="46">
        <f t="shared" si="19"/>
        <v>0</v>
      </c>
      <c r="S18" s="60"/>
      <c r="T18" s="908" t="s">
        <v>428</v>
      </c>
      <c r="U18" s="386" t="s">
        <v>13</v>
      </c>
      <c r="V18" s="125"/>
      <c r="W18" s="15" t="str">
        <f>VLOOKUP(U18,CornAdjuvants,4,FALSE)</f>
        <v>None</v>
      </c>
      <c r="X18" s="387">
        <v>0</v>
      </c>
      <c r="Y18" s="578">
        <f>VLOOKUP(U18,CornAdjuvants,3,FALSE)</f>
        <v>1</v>
      </c>
      <c r="Z18" s="388">
        <v>0</v>
      </c>
      <c r="AA18" s="44">
        <f>VLOOKUP(U18,CornAdjuvants,2,FALSE)</f>
        <v>0</v>
      </c>
      <c r="AB18" s="46">
        <f t="shared" si="20"/>
        <v>0</v>
      </c>
    </row>
    <row r="19" spans="1:28" ht="15.75" customHeight="1">
      <c r="A19" s="40"/>
      <c r="B19" s="41"/>
      <c r="C19" s="42"/>
      <c r="D19" s="43"/>
      <c r="E19" s="44"/>
      <c r="F19" s="45"/>
      <c r="G19" s="44"/>
      <c r="H19" s="46"/>
      <c r="I19" s="17"/>
      <c r="J19" s="904"/>
      <c r="K19" s="40"/>
      <c r="L19" s="41"/>
      <c r="M19" s="42"/>
      <c r="N19" s="43"/>
      <c r="O19" s="44"/>
      <c r="P19" s="45"/>
      <c r="Q19" s="44"/>
      <c r="R19" s="46"/>
      <c r="S19" s="60"/>
      <c r="T19" s="904"/>
      <c r="U19" s="40"/>
      <c r="V19" s="41"/>
      <c r="W19" s="42"/>
      <c r="X19" s="43"/>
      <c r="Y19" s="44"/>
      <c r="Z19" s="45"/>
      <c r="AA19" s="44"/>
      <c r="AB19" s="46"/>
    </row>
    <row r="20" spans="1:28" ht="16.5" customHeight="1" thickBot="1">
      <c r="A20" s="283" t="s">
        <v>158</v>
      </c>
      <c r="B20" s="284"/>
      <c r="C20" s="280"/>
      <c r="D20" s="280"/>
      <c r="E20" s="280"/>
      <c r="F20" s="280"/>
      <c r="G20" s="281"/>
      <c r="H20" s="282">
        <f>SUM(H6:H18)</f>
        <v>0</v>
      </c>
      <c r="I20" s="126"/>
      <c r="J20" s="60"/>
      <c r="K20" s="283" t="s">
        <v>158</v>
      </c>
      <c r="L20" s="284"/>
      <c r="M20" s="280"/>
      <c r="N20" s="280"/>
      <c r="O20" s="280"/>
      <c r="P20" s="280"/>
      <c r="Q20" s="281"/>
      <c r="R20" s="282">
        <f>SUM(R6:R18)</f>
        <v>0</v>
      </c>
      <c r="S20" s="2"/>
      <c r="T20" s="2"/>
      <c r="U20" s="283" t="s">
        <v>158</v>
      </c>
      <c r="V20" s="284"/>
      <c r="W20" s="280"/>
      <c r="X20" s="280"/>
      <c r="Y20" s="280"/>
      <c r="Z20" s="280"/>
      <c r="AA20" s="281"/>
      <c r="AB20" s="282">
        <f>SUM(AB6:AB18)</f>
        <v>0</v>
      </c>
    </row>
    <row r="21" spans="1:28" ht="16.2" thickTop="1">
      <c r="A21" s="40"/>
      <c r="B21" s="41"/>
      <c r="C21" s="42"/>
      <c r="D21" s="43"/>
      <c r="E21" s="44"/>
      <c r="F21" s="45"/>
      <c r="G21" s="44"/>
      <c r="H21" s="46"/>
      <c r="I21" s="47"/>
      <c r="J21"/>
      <c r="K21" s="40"/>
      <c r="L21" s="41"/>
      <c r="M21" s="42"/>
      <c r="N21" s="43"/>
      <c r="O21" s="44"/>
      <c r="P21" s="45"/>
      <c r="Q21" s="44"/>
      <c r="R21" s="46"/>
      <c r="S21"/>
      <c r="T21"/>
      <c r="U21" s="40"/>
      <c r="V21" s="41"/>
      <c r="W21" s="42"/>
      <c r="X21" s="43"/>
      <c r="Y21" s="44"/>
      <c r="Z21" s="45"/>
      <c r="AA21" s="44"/>
      <c r="AB21" s="46"/>
    </row>
    <row r="22" spans="1:28" ht="16.2" thickBot="1">
      <c r="A22" s="48"/>
      <c r="B22" s="49"/>
      <c r="C22" s="50"/>
      <c r="D22" s="47"/>
      <c r="E22" s="51"/>
      <c r="F22" s="52"/>
      <c r="G22" s="8"/>
      <c r="H22" s="46"/>
      <c r="I22" s="47"/>
      <c r="J22"/>
      <c r="K22" s="48"/>
      <c r="L22" s="49"/>
      <c r="M22" s="50"/>
      <c r="N22" s="47"/>
      <c r="O22" s="51"/>
      <c r="P22" s="52"/>
      <c r="Q22" s="8"/>
      <c r="R22" s="46"/>
      <c r="S22"/>
      <c r="T22"/>
      <c r="U22" s="48"/>
      <c r="V22" s="49"/>
      <c r="W22" s="50"/>
      <c r="X22" s="47"/>
      <c r="Y22" s="51"/>
      <c r="Z22" s="52"/>
      <c r="AA22" s="8"/>
      <c r="AB22" s="46"/>
    </row>
    <row r="23" spans="1:28" ht="16.2" thickBot="1">
      <c r="A23" s="905" t="s">
        <v>159</v>
      </c>
      <c r="B23" s="906"/>
      <c r="C23" s="906"/>
      <c r="D23" s="906"/>
      <c r="E23" s="906"/>
      <c r="F23" s="906"/>
      <c r="G23" s="906"/>
      <c r="H23" s="907"/>
      <c r="I23" s="61"/>
      <c r="J23" s="2"/>
      <c r="K23" s="905" t="s">
        <v>159</v>
      </c>
      <c r="L23" s="906"/>
      <c r="M23" s="906"/>
      <c r="N23" s="906"/>
      <c r="O23" s="906"/>
      <c r="P23" s="906"/>
      <c r="Q23" s="906"/>
      <c r="R23" s="907"/>
      <c r="S23" s="2"/>
      <c r="T23" s="2"/>
      <c r="U23" s="905" t="s">
        <v>159</v>
      </c>
      <c r="V23" s="906"/>
      <c r="W23" s="906"/>
      <c r="X23" s="906"/>
      <c r="Y23" s="906"/>
      <c r="Z23" s="906"/>
      <c r="AA23" s="906"/>
      <c r="AB23" s="907"/>
    </row>
    <row r="24" spans="1:28" ht="31.2">
      <c r="A24" s="110" t="s">
        <v>117</v>
      </c>
      <c r="B24" s="111" t="s">
        <v>220</v>
      </c>
      <c r="C24" s="112" t="s">
        <v>118</v>
      </c>
      <c r="D24" s="111" t="s">
        <v>119</v>
      </c>
      <c r="E24" s="112" t="s">
        <v>12</v>
      </c>
      <c r="F24" s="112" t="s">
        <v>120</v>
      </c>
      <c r="G24" s="111" t="s">
        <v>300</v>
      </c>
      <c r="H24" s="113" t="s">
        <v>121</v>
      </c>
      <c r="I24" s="114"/>
      <c r="J24" s="2"/>
      <c r="K24" s="110" t="s">
        <v>117</v>
      </c>
      <c r="L24" s="111" t="s">
        <v>220</v>
      </c>
      <c r="M24" s="112" t="s">
        <v>118</v>
      </c>
      <c r="N24" s="111" t="s">
        <v>119</v>
      </c>
      <c r="O24" s="112" t="s">
        <v>12</v>
      </c>
      <c r="P24" s="112" t="s">
        <v>120</v>
      </c>
      <c r="Q24" s="111" t="s">
        <v>300</v>
      </c>
      <c r="R24" s="127" t="s">
        <v>121</v>
      </c>
      <c r="S24" s="2"/>
      <c r="T24" s="2"/>
      <c r="U24" s="110" t="s">
        <v>117</v>
      </c>
      <c r="V24" s="111" t="s">
        <v>220</v>
      </c>
      <c r="W24" s="112" t="s">
        <v>118</v>
      </c>
      <c r="X24" s="111" t="s">
        <v>119</v>
      </c>
      <c r="Y24" s="112" t="s">
        <v>12</v>
      </c>
      <c r="Z24" s="112" t="s">
        <v>120</v>
      </c>
      <c r="AA24" s="111" t="s">
        <v>300</v>
      </c>
      <c r="AB24" s="113" t="s">
        <v>121</v>
      </c>
    </row>
    <row r="25" spans="1:28" ht="15.6">
      <c r="A25" s="115" t="s">
        <v>414</v>
      </c>
      <c r="B25" s="116"/>
      <c r="C25" s="19"/>
      <c r="D25" s="76" t="s">
        <v>146</v>
      </c>
      <c r="E25" s="138"/>
      <c r="F25" s="76" t="s">
        <v>146</v>
      </c>
      <c r="G25" s="39"/>
      <c r="H25" s="118"/>
      <c r="I25" s="119"/>
      <c r="J25" s="60"/>
      <c r="K25" s="115" t="s">
        <v>414</v>
      </c>
      <c r="L25" s="116"/>
      <c r="M25" s="19"/>
      <c r="N25" s="76" t="s">
        <v>146</v>
      </c>
      <c r="O25" s="138"/>
      <c r="P25" s="76" t="s">
        <v>146</v>
      </c>
      <c r="Q25" s="39"/>
      <c r="R25" s="118"/>
      <c r="S25" s="60"/>
      <c r="T25" s="60"/>
      <c r="U25" s="115" t="s">
        <v>414</v>
      </c>
      <c r="V25" s="116"/>
      <c r="W25" s="19"/>
      <c r="X25" s="76" t="s">
        <v>146</v>
      </c>
      <c r="Y25" s="138"/>
      <c r="Z25" s="76" t="s">
        <v>146</v>
      </c>
      <c r="AA25" s="39"/>
      <c r="AB25" s="118"/>
    </row>
    <row r="26" spans="1:28" ht="15.6">
      <c r="A26" s="386" t="s">
        <v>13</v>
      </c>
      <c r="B26" s="44">
        <f t="shared" ref="B26:B31" si="21">VLOOKUP($A26,CornPostChemicals,6,FALSE)</f>
        <v>0</v>
      </c>
      <c r="C26" s="15" t="str">
        <f t="shared" ref="C26:C31" si="22">VLOOKUP($A26,CornPostChemicals,4,FALSE)</f>
        <v>None</v>
      </c>
      <c r="D26" s="387">
        <v>0</v>
      </c>
      <c r="E26" s="578">
        <f t="shared" ref="E26:E31" si="23">VLOOKUP($A26,CornPostChemicals,3,FALSE)</f>
        <v>1</v>
      </c>
      <c r="F26" s="388">
        <v>0</v>
      </c>
      <c r="G26" s="44">
        <f t="shared" ref="G26:G31" si="24">VLOOKUP($A26,CornPostChemicals,2,FALSE)</f>
        <v>0</v>
      </c>
      <c r="H26" s="46">
        <f>F26/E26*D26</f>
        <v>0</v>
      </c>
      <c r="I26" s="17"/>
      <c r="J26" s="60"/>
      <c r="K26" s="386" t="s">
        <v>13</v>
      </c>
      <c r="L26" s="44">
        <f t="shared" ref="L26:L31" si="25">VLOOKUP(K26,SoybeanPostChemicals,6,FALSE)</f>
        <v>0</v>
      </c>
      <c r="M26" s="15" t="str">
        <f t="shared" ref="M26:M31" si="26">VLOOKUP(K26,SoybeanPostChemicals,4,FALSE)</f>
        <v>None</v>
      </c>
      <c r="N26" s="387">
        <v>0</v>
      </c>
      <c r="O26" s="578">
        <f t="shared" ref="O26:O31" si="27">VLOOKUP(K26,SoybeanPostChemicals,3,FALSE)</f>
        <v>1</v>
      </c>
      <c r="P26" s="388">
        <v>0</v>
      </c>
      <c r="Q26" s="44">
        <f t="shared" ref="Q26:Q31" si="28">VLOOKUP(K26,SoybeanPostChemicals,2,FALSE)</f>
        <v>0</v>
      </c>
      <c r="R26" s="46">
        <f>P26/O26*N26</f>
        <v>0</v>
      </c>
      <c r="S26" s="60"/>
      <c r="T26" s="60"/>
      <c r="U26" s="386" t="s">
        <v>13</v>
      </c>
      <c r="V26" s="44">
        <f t="shared" ref="V26:V31" si="29">VLOOKUP(U26,WheatChemicals,6,FALSE)</f>
        <v>0</v>
      </c>
      <c r="W26" s="15" t="str">
        <f t="shared" ref="W26:W31" si="30">VLOOKUP(U26,WheatChemicals,4,FALSE)</f>
        <v>None</v>
      </c>
      <c r="X26" s="387">
        <v>0</v>
      </c>
      <c r="Y26" s="578">
        <f t="shared" ref="Y26:Y31" si="31">VLOOKUP(U26,WheatChemicals,3,FALSE)</f>
        <v>1</v>
      </c>
      <c r="Z26" s="388">
        <v>0</v>
      </c>
      <c r="AA26" s="44">
        <f t="shared" ref="AA26:AA31" si="32">VLOOKUP(U26,WheatChemicals,2,FALSE)</f>
        <v>0</v>
      </c>
      <c r="AB26" s="46">
        <f t="shared" ref="AB26" si="33">Z26/Y26*X26</f>
        <v>0</v>
      </c>
    </row>
    <row r="27" spans="1:28" ht="15.6">
      <c r="A27" s="386" t="s">
        <v>13</v>
      </c>
      <c r="B27" s="44">
        <f t="shared" si="21"/>
        <v>0</v>
      </c>
      <c r="C27" s="15" t="str">
        <f t="shared" si="22"/>
        <v>None</v>
      </c>
      <c r="D27" s="387">
        <v>0</v>
      </c>
      <c r="E27" s="578">
        <f t="shared" si="23"/>
        <v>1</v>
      </c>
      <c r="F27" s="388">
        <v>0</v>
      </c>
      <c r="G27" s="44">
        <f t="shared" si="24"/>
        <v>0</v>
      </c>
      <c r="H27" s="46">
        <f t="shared" ref="H27:H31" si="34">F27/E27*D27</f>
        <v>0</v>
      </c>
      <c r="I27" s="17"/>
      <c r="J27" s="60"/>
      <c r="K27" s="386" t="s">
        <v>13</v>
      </c>
      <c r="L27" s="44">
        <f t="shared" si="25"/>
        <v>0</v>
      </c>
      <c r="M27" s="15" t="str">
        <f t="shared" si="26"/>
        <v>None</v>
      </c>
      <c r="N27" s="387">
        <v>0</v>
      </c>
      <c r="O27" s="578">
        <f t="shared" si="27"/>
        <v>1</v>
      </c>
      <c r="P27" s="388">
        <v>0</v>
      </c>
      <c r="Q27" s="44">
        <f t="shared" si="28"/>
        <v>0</v>
      </c>
      <c r="R27" s="46">
        <f t="shared" ref="R27:R31" si="35">P27/O27*N27</f>
        <v>0</v>
      </c>
      <c r="S27" s="60"/>
      <c r="T27" s="60"/>
      <c r="U27" s="386" t="s">
        <v>13</v>
      </c>
      <c r="V27" s="44">
        <f t="shared" si="29"/>
        <v>0</v>
      </c>
      <c r="W27" s="15" t="str">
        <f t="shared" si="30"/>
        <v>None</v>
      </c>
      <c r="X27" s="387">
        <v>0</v>
      </c>
      <c r="Y27" s="578">
        <f t="shared" si="31"/>
        <v>1</v>
      </c>
      <c r="Z27" s="388">
        <v>0</v>
      </c>
      <c r="AA27" s="44">
        <f t="shared" si="32"/>
        <v>0</v>
      </c>
      <c r="AB27" s="46">
        <f>Z27/Y27*X27</f>
        <v>0</v>
      </c>
    </row>
    <row r="28" spans="1:28" ht="15.6">
      <c r="A28" s="386" t="s">
        <v>13</v>
      </c>
      <c r="B28" s="44">
        <f t="shared" si="21"/>
        <v>0</v>
      </c>
      <c r="C28" s="15" t="str">
        <f t="shared" si="22"/>
        <v>None</v>
      </c>
      <c r="D28" s="387">
        <v>0</v>
      </c>
      <c r="E28" s="578">
        <f t="shared" si="23"/>
        <v>1</v>
      </c>
      <c r="F28" s="388">
        <v>0</v>
      </c>
      <c r="G28" s="44">
        <f t="shared" si="24"/>
        <v>0</v>
      </c>
      <c r="H28" s="46">
        <f t="shared" si="34"/>
        <v>0</v>
      </c>
      <c r="I28" s="17"/>
      <c r="J28" s="60"/>
      <c r="K28" s="386" t="s">
        <v>13</v>
      </c>
      <c r="L28" s="44">
        <f t="shared" si="25"/>
        <v>0</v>
      </c>
      <c r="M28" s="15" t="str">
        <f t="shared" si="26"/>
        <v>None</v>
      </c>
      <c r="N28" s="387">
        <v>0</v>
      </c>
      <c r="O28" s="578">
        <f t="shared" si="27"/>
        <v>1</v>
      </c>
      <c r="P28" s="388">
        <v>0</v>
      </c>
      <c r="Q28" s="44">
        <f t="shared" si="28"/>
        <v>0</v>
      </c>
      <c r="R28" s="46">
        <f t="shared" si="35"/>
        <v>0</v>
      </c>
      <c r="S28" s="60"/>
      <c r="T28" s="60"/>
      <c r="U28" s="386" t="s">
        <v>13</v>
      </c>
      <c r="V28" s="44">
        <f t="shared" si="29"/>
        <v>0</v>
      </c>
      <c r="W28" s="15" t="str">
        <f t="shared" si="30"/>
        <v>None</v>
      </c>
      <c r="X28" s="387">
        <v>0</v>
      </c>
      <c r="Y28" s="578">
        <f t="shared" si="31"/>
        <v>1</v>
      </c>
      <c r="Z28" s="388">
        <v>0</v>
      </c>
      <c r="AA28" s="44">
        <f t="shared" si="32"/>
        <v>0</v>
      </c>
      <c r="AB28" s="46">
        <f t="shared" ref="AB28:AB31" si="36">Z28/Y28*X28</f>
        <v>0</v>
      </c>
    </row>
    <row r="29" spans="1:28" ht="15.6">
      <c r="A29" s="386" t="s">
        <v>13</v>
      </c>
      <c r="B29" s="44">
        <f t="shared" si="21"/>
        <v>0</v>
      </c>
      <c r="C29" s="15" t="str">
        <f t="shared" si="22"/>
        <v>None</v>
      </c>
      <c r="D29" s="387">
        <v>0</v>
      </c>
      <c r="E29" s="578">
        <f t="shared" si="23"/>
        <v>1</v>
      </c>
      <c r="F29" s="388">
        <v>0</v>
      </c>
      <c r="G29" s="44">
        <f t="shared" si="24"/>
        <v>0</v>
      </c>
      <c r="H29" s="46">
        <f t="shared" ref="H29" si="37">F29/E29*D29</f>
        <v>0</v>
      </c>
      <c r="I29" s="17"/>
      <c r="J29" s="60"/>
      <c r="K29" s="386" t="s">
        <v>13</v>
      </c>
      <c r="L29" s="44">
        <f t="shared" si="25"/>
        <v>0</v>
      </c>
      <c r="M29" s="15" t="str">
        <f t="shared" si="26"/>
        <v>None</v>
      </c>
      <c r="N29" s="387">
        <v>0</v>
      </c>
      <c r="O29" s="578">
        <f t="shared" si="27"/>
        <v>1</v>
      </c>
      <c r="P29" s="388">
        <v>0</v>
      </c>
      <c r="Q29" s="44">
        <f t="shared" si="28"/>
        <v>0</v>
      </c>
      <c r="R29" s="46">
        <f t="shared" ref="R29" si="38">P29/O29*N29</f>
        <v>0</v>
      </c>
      <c r="S29" s="60"/>
      <c r="T29" s="60"/>
      <c r="U29" s="386" t="s">
        <v>13</v>
      </c>
      <c r="V29" s="44">
        <f t="shared" si="29"/>
        <v>0</v>
      </c>
      <c r="W29" s="15" t="str">
        <f t="shared" si="30"/>
        <v>None</v>
      </c>
      <c r="X29" s="387">
        <v>0</v>
      </c>
      <c r="Y29" s="578">
        <f t="shared" si="31"/>
        <v>1</v>
      </c>
      <c r="Z29" s="388">
        <v>0</v>
      </c>
      <c r="AA29" s="44">
        <f t="shared" si="32"/>
        <v>0</v>
      </c>
      <c r="AB29" s="46">
        <f t="shared" ref="AB29" si="39">Z29/Y29*X29</f>
        <v>0</v>
      </c>
    </row>
    <row r="30" spans="1:28" ht="15.6">
      <c r="A30" s="386" t="s">
        <v>13</v>
      </c>
      <c r="B30" s="44">
        <f t="shared" si="21"/>
        <v>0</v>
      </c>
      <c r="C30" s="15" t="str">
        <f t="shared" si="22"/>
        <v>None</v>
      </c>
      <c r="D30" s="387">
        <v>0</v>
      </c>
      <c r="E30" s="578">
        <f t="shared" si="23"/>
        <v>1</v>
      </c>
      <c r="F30" s="388">
        <v>0</v>
      </c>
      <c r="G30" s="44">
        <f t="shared" si="24"/>
        <v>0</v>
      </c>
      <c r="H30" s="46">
        <f t="shared" si="34"/>
        <v>0</v>
      </c>
      <c r="I30" s="17"/>
      <c r="J30" s="60"/>
      <c r="K30" s="386" t="s">
        <v>13</v>
      </c>
      <c r="L30" s="44">
        <f t="shared" si="25"/>
        <v>0</v>
      </c>
      <c r="M30" s="15" t="str">
        <f t="shared" si="26"/>
        <v>None</v>
      </c>
      <c r="N30" s="387">
        <v>0</v>
      </c>
      <c r="O30" s="578">
        <f t="shared" si="27"/>
        <v>1</v>
      </c>
      <c r="P30" s="388">
        <v>0</v>
      </c>
      <c r="Q30" s="44">
        <f t="shared" si="28"/>
        <v>0</v>
      </c>
      <c r="R30" s="46">
        <f t="shared" si="35"/>
        <v>0</v>
      </c>
      <c r="S30" s="60"/>
      <c r="T30" s="60"/>
      <c r="U30" s="386" t="s">
        <v>13</v>
      </c>
      <c r="V30" s="44">
        <f t="shared" si="29"/>
        <v>0</v>
      </c>
      <c r="W30" s="15" t="str">
        <f t="shared" si="30"/>
        <v>None</v>
      </c>
      <c r="X30" s="387">
        <v>0</v>
      </c>
      <c r="Y30" s="578">
        <f t="shared" si="31"/>
        <v>1</v>
      </c>
      <c r="Z30" s="388">
        <v>0</v>
      </c>
      <c r="AA30" s="44">
        <f t="shared" si="32"/>
        <v>0</v>
      </c>
      <c r="AB30" s="46">
        <f t="shared" si="36"/>
        <v>0</v>
      </c>
    </row>
    <row r="31" spans="1:28" ht="15.6">
      <c r="A31" s="386" t="s">
        <v>13</v>
      </c>
      <c r="B31" s="44">
        <f t="shared" si="21"/>
        <v>0</v>
      </c>
      <c r="C31" s="15" t="str">
        <f t="shared" si="22"/>
        <v>None</v>
      </c>
      <c r="D31" s="387">
        <v>0</v>
      </c>
      <c r="E31" s="578">
        <f t="shared" si="23"/>
        <v>1</v>
      </c>
      <c r="F31" s="388">
        <v>0</v>
      </c>
      <c r="G31" s="44">
        <f t="shared" si="24"/>
        <v>0</v>
      </c>
      <c r="H31" s="46">
        <f t="shared" si="34"/>
        <v>0</v>
      </c>
      <c r="I31" s="17"/>
      <c r="J31" s="60"/>
      <c r="K31" s="386" t="s">
        <v>13</v>
      </c>
      <c r="L31" s="44">
        <f t="shared" si="25"/>
        <v>0</v>
      </c>
      <c r="M31" s="15" t="str">
        <f t="shared" si="26"/>
        <v>None</v>
      </c>
      <c r="N31" s="387">
        <v>0</v>
      </c>
      <c r="O31" s="578">
        <f t="shared" si="27"/>
        <v>1</v>
      </c>
      <c r="P31" s="388">
        <v>0</v>
      </c>
      <c r="Q31" s="44">
        <f t="shared" si="28"/>
        <v>0</v>
      </c>
      <c r="R31" s="46">
        <f t="shared" si="35"/>
        <v>0</v>
      </c>
      <c r="S31" s="60"/>
      <c r="T31" s="60"/>
      <c r="U31" s="386" t="s">
        <v>13</v>
      </c>
      <c r="V31" s="44">
        <f t="shared" si="29"/>
        <v>0</v>
      </c>
      <c r="W31" s="15" t="str">
        <f t="shared" si="30"/>
        <v>None</v>
      </c>
      <c r="X31" s="387">
        <v>0</v>
      </c>
      <c r="Y31" s="578">
        <f t="shared" si="31"/>
        <v>1</v>
      </c>
      <c r="Z31" s="388">
        <v>0</v>
      </c>
      <c r="AA31" s="44">
        <f t="shared" si="32"/>
        <v>0</v>
      </c>
      <c r="AB31" s="46">
        <f t="shared" si="36"/>
        <v>0</v>
      </c>
    </row>
    <row r="32" spans="1:28" ht="15.6">
      <c r="A32" s="48"/>
      <c r="B32" s="49"/>
      <c r="C32" s="50"/>
      <c r="D32" s="121"/>
      <c r="E32" s="102"/>
      <c r="F32" s="122"/>
      <c r="G32" s="8"/>
      <c r="H32" s="46"/>
      <c r="I32" s="17"/>
      <c r="J32" s="60"/>
      <c r="K32" s="48"/>
      <c r="L32" s="49"/>
      <c r="M32" s="50"/>
      <c r="N32" s="121"/>
      <c r="O32" s="102"/>
      <c r="P32" s="122"/>
      <c r="Q32" s="8"/>
      <c r="R32" s="46"/>
      <c r="S32" s="60"/>
      <c r="T32" s="60"/>
      <c r="U32" s="48"/>
      <c r="V32" s="49"/>
      <c r="W32" s="50"/>
      <c r="X32" s="121"/>
      <c r="Y32" s="123"/>
      <c r="Z32" s="122"/>
      <c r="AA32" s="8"/>
      <c r="AB32" s="46"/>
    </row>
    <row r="33" spans="1:28" ht="15.6">
      <c r="A33" s="48"/>
      <c r="B33" s="49"/>
      <c r="C33" s="50"/>
      <c r="D33" s="121"/>
      <c r="E33" s="123"/>
      <c r="F33" s="122"/>
      <c r="G33" s="8"/>
      <c r="H33" s="46"/>
      <c r="I33" s="17"/>
      <c r="J33" s="60"/>
      <c r="K33" s="48"/>
      <c r="L33" s="49"/>
      <c r="M33" s="50"/>
      <c r="N33" s="121"/>
      <c r="O33" s="123"/>
      <c r="P33" s="122"/>
      <c r="Q33" s="8"/>
      <c r="R33" s="46"/>
      <c r="S33" s="60"/>
      <c r="T33" s="60"/>
      <c r="U33" s="48"/>
      <c r="V33" s="49"/>
      <c r="W33" s="50"/>
      <c r="X33" s="121"/>
      <c r="Y33" s="123"/>
      <c r="Z33" s="122"/>
      <c r="AA33" s="8"/>
      <c r="AB33" s="46"/>
    </row>
    <row r="34" spans="1:28" ht="15.6">
      <c r="A34" s="124" t="s">
        <v>415</v>
      </c>
      <c r="B34" s="116"/>
      <c r="C34" s="19"/>
      <c r="D34" s="76" t="s">
        <v>146</v>
      </c>
      <c r="E34" s="138"/>
      <c r="F34" s="76" t="s">
        <v>146</v>
      </c>
      <c r="G34" s="39"/>
      <c r="H34" s="118"/>
      <c r="I34" s="119"/>
      <c r="J34" s="60"/>
      <c r="K34" s="124" t="s">
        <v>415</v>
      </c>
      <c r="L34" s="116"/>
      <c r="M34" s="19"/>
      <c r="N34" s="76" t="s">
        <v>146</v>
      </c>
      <c r="O34" s="138"/>
      <c r="P34" s="76" t="s">
        <v>146</v>
      </c>
      <c r="Q34" s="11"/>
      <c r="R34" s="128"/>
      <c r="S34" s="60"/>
      <c r="T34" s="60"/>
      <c r="U34" s="124" t="s">
        <v>415</v>
      </c>
      <c r="V34" s="116"/>
      <c r="W34" s="19"/>
      <c r="X34" s="76" t="s">
        <v>146</v>
      </c>
      <c r="Y34" s="138"/>
      <c r="Z34" s="76" t="s">
        <v>146</v>
      </c>
      <c r="AA34" s="39"/>
      <c r="AB34" s="118"/>
    </row>
    <row r="35" spans="1:28" ht="15.6">
      <c r="A35" s="386" t="s">
        <v>13</v>
      </c>
      <c r="B35" s="125"/>
      <c r="C35" s="15" t="str">
        <f>VLOOKUP($A35,CornAdjuvants,4,FALSE)</f>
        <v>None</v>
      </c>
      <c r="D35" s="387">
        <v>0</v>
      </c>
      <c r="E35" s="578">
        <f>VLOOKUP($A35,CornAdjuvants,3,FALSE)</f>
        <v>1</v>
      </c>
      <c r="F35" s="388">
        <v>0</v>
      </c>
      <c r="G35" s="44">
        <f>VLOOKUP($A35,CornAdjuvants,2,FALSE)</f>
        <v>0</v>
      </c>
      <c r="H35" s="46">
        <f>F35/E35*D35</f>
        <v>0</v>
      </c>
      <c r="I35" s="17"/>
      <c r="J35" s="60"/>
      <c r="K35" s="386" t="s">
        <v>13</v>
      </c>
      <c r="L35" s="125"/>
      <c r="M35" s="15" t="str">
        <f>VLOOKUP($K35,CornAdjuvants,4,FALSE)</f>
        <v>None</v>
      </c>
      <c r="N35" s="387">
        <v>0</v>
      </c>
      <c r="O35" s="578">
        <f>VLOOKUP($K35,CornAdjuvants,3,FALSE)</f>
        <v>1</v>
      </c>
      <c r="P35" s="388">
        <v>0</v>
      </c>
      <c r="Q35" s="44">
        <f>VLOOKUP($K35,CornAdjuvants,2,FALSE)</f>
        <v>0</v>
      </c>
      <c r="R35" s="16">
        <f>P35/O35*N35</f>
        <v>0</v>
      </c>
      <c r="S35" s="60"/>
      <c r="T35" s="60"/>
      <c r="U35" s="386" t="s">
        <v>13</v>
      </c>
      <c r="V35" s="125"/>
      <c r="W35" s="15" t="str">
        <f>VLOOKUP(U35,CornAdjuvants,4,FALSE)</f>
        <v>None</v>
      </c>
      <c r="X35" s="387">
        <v>0</v>
      </c>
      <c r="Y35" s="578">
        <f>VLOOKUP(U35,CornAdjuvants,3,FALSE)</f>
        <v>1</v>
      </c>
      <c r="Z35" s="388">
        <v>0</v>
      </c>
      <c r="AA35" s="44">
        <f>VLOOKUP(U35,CornAdjuvants,2,FALSE)</f>
        <v>0</v>
      </c>
      <c r="AB35" s="46">
        <f>Z35/Y35*X35</f>
        <v>0</v>
      </c>
    </row>
    <row r="36" spans="1:28" ht="15.6">
      <c r="A36" s="386" t="s">
        <v>13</v>
      </c>
      <c r="B36" s="125"/>
      <c r="C36" s="15" t="str">
        <f>VLOOKUP($A36,CornAdjuvants,4,FALSE)</f>
        <v>None</v>
      </c>
      <c r="D36" s="387">
        <v>0</v>
      </c>
      <c r="E36" s="578">
        <f>VLOOKUP($A36,CornAdjuvants,3,FALSE)</f>
        <v>1</v>
      </c>
      <c r="F36" s="388">
        <v>0</v>
      </c>
      <c r="G36" s="44">
        <f>VLOOKUP($A36,CornAdjuvants,2,FALSE)</f>
        <v>0</v>
      </c>
      <c r="H36" s="46">
        <f t="shared" ref="H36:H39" si="40">F36/E36*D36</f>
        <v>0</v>
      </c>
      <c r="I36" s="17"/>
      <c r="J36" s="60"/>
      <c r="K36" s="386" t="s">
        <v>13</v>
      </c>
      <c r="L36" s="125"/>
      <c r="M36" s="15" t="str">
        <f>VLOOKUP($K36,CornAdjuvants,4,FALSE)</f>
        <v>None</v>
      </c>
      <c r="N36" s="387">
        <v>0</v>
      </c>
      <c r="O36" s="578">
        <f>VLOOKUP($K36,CornAdjuvants,3,FALSE)</f>
        <v>1</v>
      </c>
      <c r="P36" s="388">
        <v>0</v>
      </c>
      <c r="Q36" s="44">
        <f>VLOOKUP($K36,CornAdjuvants,2,FALSE)</f>
        <v>0</v>
      </c>
      <c r="R36" s="16">
        <f t="shared" ref="R36:R39" si="41">P36/O36*N36</f>
        <v>0</v>
      </c>
      <c r="S36" s="60"/>
      <c r="T36" s="60"/>
      <c r="U36" s="386" t="s">
        <v>13</v>
      </c>
      <c r="V36" s="125"/>
      <c r="W36" s="15" t="str">
        <f>VLOOKUP(U36,CornAdjuvants,4,FALSE)</f>
        <v>None</v>
      </c>
      <c r="X36" s="387">
        <v>0</v>
      </c>
      <c r="Y36" s="578">
        <f>VLOOKUP(U36,CornAdjuvants,3,FALSE)</f>
        <v>1</v>
      </c>
      <c r="Z36" s="388">
        <v>0</v>
      </c>
      <c r="AA36" s="44">
        <f>VLOOKUP(U36,CornAdjuvants,2,FALSE)</f>
        <v>0</v>
      </c>
      <c r="AB36" s="46">
        <f t="shared" ref="AB36:AB39" si="42">Z36/Y36*X36</f>
        <v>0</v>
      </c>
    </row>
    <row r="37" spans="1:28" ht="15.6">
      <c r="A37" s="386" t="s">
        <v>13</v>
      </c>
      <c r="B37" s="125"/>
      <c r="C37" s="15" t="str">
        <f>VLOOKUP($A37,CornAdjuvants,4,FALSE)</f>
        <v>None</v>
      </c>
      <c r="D37" s="387">
        <v>0</v>
      </c>
      <c r="E37" s="578">
        <f>VLOOKUP($A37,CornAdjuvants,3,FALSE)</f>
        <v>1</v>
      </c>
      <c r="F37" s="388">
        <v>0</v>
      </c>
      <c r="G37" s="44">
        <f>VLOOKUP($A37,CornAdjuvants,2,FALSE)</f>
        <v>0</v>
      </c>
      <c r="H37" s="46">
        <f t="shared" si="40"/>
        <v>0</v>
      </c>
      <c r="I37" s="17"/>
      <c r="J37" s="60"/>
      <c r="K37" s="386" t="s">
        <v>13</v>
      </c>
      <c r="L37" s="125"/>
      <c r="M37" s="15" t="str">
        <f>VLOOKUP($K37,CornAdjuvants,4,FALSE)</f>
        <v>None</v>
      </c>
      <c r="N37" s="387">
        <v>0</v>
      </c>
      <c r="O37" s="578">
        <f>VLOOKUP($K37,CornAdjuvants,3,FALSE)</f>
        <v>1</v>
      </c>
      <c r="P37" s="388">
        <v>0</v>
      </c>
      <c r="Q37" s="44">
        <f>VLOOKUP($K37,CornAdjuvants,2,FALSE)</f>
        <v>0</v>
      </c>
      <c r="R37" s="16">
        <f>P37/O37*N37</f>
        <v>0</v>
      </c>
      <c r="S37" s="60"/>
      <c r="T37" s="60"/>
      <c r="U37" s="386" t="s">
        <v>13</v>
      </c>
      <c r="V37" s="125"/>
      <c r="W37" s="15" t="str">
        <f>VLOOKUP(U37,CornAdjuvants,4,FALSE)</f>
        <v>None</v>
      </c>
      <c r="X37" s="387">
        <v>0</v>
      </c>
      <c r="Y37" s="578">
        <f>VLOOKUP(U37,CornAdjuvants,3,FALSE)</f>
        <v>1</v>
      </c>
      <c r="Z37" s="388">
        <v>0</v>
      </c>
      <c r="AA37" s="44">
        <f>VLOOKUP(U37,CornAdjuvants,2,FALSE)</f>
        <v>0</v>
      </c>
      <c r="AB37" s="46">
        <f t="shared" si="42"/>
        <v>0</v>
      </c>
    </row>
    <row r="38" spans="1:28" ht="15.6">
      <c r="A38" s="386" t="s">
        <v>13</v>
      </c>
      <c r="B38" s="125"/>
      <c r="C38" s="15" t="str">
        <f>VLOOKUP($A38,CornAdjuvants,4,FALSE)</f>
        <v>None</v>
      </c>
      <c r="D38" s="387">
        <v>0</v>
      </c>
      <c r="E38" s="578">
        <f>VLOOKUP($A38,CornAdjuvants,3,FALSE)</f>
        <v>1</v>
      </c>
      <c r="F38" s="388">
        <v>0</v>
      </c>
      <c r="G38" s="44">
        <f>VLOOKUP($A38,CornAdjuvants,2,FALSE)</f>
        <v>0</v>
      </c>
      <c r="H38" s="46">
        <f t="shared" si="40"/>
        <v>0</v>
      </c>
      <c r="I38" s="17"/>
      <c r="J38" s="332" t="s">
        <v>429</v>
      </c>
      <c r="K38" s="386" t="s">
        <v>13</v>
      </c>
      <c r="L38" s="125"/>
      <c r="M38" s="15" t="str">
        <f>VLOOKUP($K38,CornAdjuvants,4,FALSE)</f>
        <v>None</v>
      </c>
      <c r="N38" s="387">
        <v>0</v>
      </c>
      <c r="O38" s="578">
        <f>VLOOKUP($K38,CornAdjuvants,3,FALSE)</f>
        <v>1</v>
      </c>
      <c r="P38" s="388">
        <v>0</v>
      </c>
      <c r="Q38" s="44">
        <f>VLOOKUP($K38,CornAdjuvants,2,FALSE)</f>
        <v>0</v>
      </c>
      <c r="R38" s="16">
        <f t="shared" si="41"/>
        <v>0</v>
      </c>
      <c r="S38" s="60"/>
      <c r="T38" s="332" t="s">
        <v>429</v>
      </c>
      <c r="U38" s="386" t="s">
        <v>13</v>
      </c>
      <c r="V38" s="125"/>
      <c r="W38" s="15" t="str">
        <f>VLOOKUP(U38,CornAdjuvants,4,FALSE)</f>
        <v>None</v>
      </c>
      <c r="X38" s="387">
        <v>0</v>
      </c>
      <c r="Y38" s="578">
        <f>VLOOKUP(U38,CornAdjuvants,3,FALSE)</f>
        <v>1</v>
      </c>
      <c r="Z38" s="388">
        <v>0</v>
      </c>
      <c r="AA38" s="44">
        <f>VLOOKUP(U38,CornAdjuvants,2,FALSE)</f>
        <v>0</v>
      </c>
      <c r="AB38" s="46">
        <f t="shared" si="42"/>
        <v>0</v>
      </c>
    </row>
    <row r="39" spans="1:28" ht="15.6">
      <c r="A39" s="386" t="s">
        <v>13</v>
      </c>
      <c r="B39" s="125"/>
      <c r="C39" s="15" t="str">
        <f>VLOOKUP($A39,CornAdjuvants,4,FALSE)</f>
        <v>None</v>
      </c>
      <c r="D39" s="387">
        <v>0</v>
      </c>
      <c r="E39" s="578">
        <f>VLOOKUP($A39,CornAdjuvants,3,FALSE)</f>
        <v>1</v>
      </c>
      <c r="F39" s="388">
        <v>0</v>
      </c>
      <c r="G39" s="44">
        <f>VLOOKUP($A39,CornAdjuvants,2,FALSE)</f>
        <v>0</v>
      </c>
      <c r="H39" s="46">
        <f t="shared" si="40"/>
        <v>0</v>
      </c>
      <c r="I39" s="17"/>
      <c r="J39" s="332" t="s">
        <v>430</v>
      </c>
      <c r="K39" s="386" t="s">
        <v>13</v>
      </c>
      <c r="L39" s="125"/>
      <c r="M39" s="15" t="str">
        <f>VLOOKUP($K39,CornAdjuvants,4,FALSE)</f>
        <v>None</v>
      </c>
      <c r="N39" s="387">
        <v>0</v>
      </c>
      <c r="O39" s="578">
        <f>VLOOKUP($K39,CornAdjuvants,3,FALSE)</f>
        <v>1</v>
      </c>
      <c r="P39" s="388">
        <v>0</v>
      </c>
      <c r="Q39" s="44">
        <f>VLOOKUP($K39,CornAdjuvants,2,FALSE)</f>
        <v>0</v>
      </c>
      <c r="R39" s="16">
        <f t="shared" si="41"/>
        <v>0</v>
      </c>
      <c r="S39" s="60"/>
      <c r="T39" s="332" t="s">
        <v>430</v>
      </c>
      <c r="U39" s="386" t="s">
        <v>13</v>
      </c>
      <c r="V39" s="125"/>
      <c r="W39" s="15" t="str">
        <f>VLOOKUP(U39,CornAdjuvants,4,FALSE)</f>
        <v>None</v>
      </c>
      <c r="X39" s="387">
        <v>0</v>
      </c>
      <c r="Y39" s="578">
        <f>VLOOKUP(U39,CornAdjuvants,3,FALSE)</f>
        <v>1</v>
      </c>
      <c r="Z39" s="388">
        <v>0</v>
      </c>
      <c r="AA39" s="44">
        <f>VLOOKUP(U39,CornAdjuvants,2,FALSE)</f>
        <v>0</v>
      </c>
      <c r="AB39" s="46">
        <f t="shared" si="42"/>
        <v>0</v>
      </c>
    </row>
    <row r="40" spans="1:28" ht="15.6">
      <c r="A40" s="48"/>
      <c r="B40" s="125"/>
      <c r="C40" s="42"/>
      <c r="D40" s="43"/>
      <c r="E40" s="44"/>
      <c r="F40" s="45"/>
      <c r="G40" s="44"/>
      <c r="H40" s="46"/>
      <c r="I40" s="47"/>
      <c r="J40" s="904" t="s">
        <v>428</v>
      </c>
      <c r="K40" s="48"/>
      <c r="L40" s="125"/>
      <c r="M40" s="42"/>
      <c r="N40" s="43"/>
      <c r="O40" s="44"/>
      <c r="P40" s="45"/>
      <c r="Q40" s="44"/>
      <c r="R40" s="46"/>
      <c r="S40" s="2"/>
      <c r="T40" s="904" t="s">
        <v>428</v>
      </c>
      <c r="U40" s="48"/>
      <c r="V40" s="125"/>
      <c r="W40" s="42"/>
      <c r="X40" s="43"/>
      <c r="Y40" s="44"/>
      <c r="Z40" s="45"/>
      <c r="AA40" s="44"/>
      <c r="AB40" s="46"/>
    </row>
    <row r="41" spans="1:28" ht="15.6">
      <c r="A41" s="48"/>
      <c r="B41" s="41"/>
      <c r="C41" s="42"/>
      <c r="D41" s="43"/>
      <c r="E41" s="44"/>
      <c r="F41" s="45"/>
      <c r="G41" s="44"/>
      <c r="H41" s="46"/>
      <c r="I41" s="47"/>
      <c r="J41" s="904"/>
      <c r="K41" s="48"/>
      <c r="L41" s="41"/>
      <c r="M41" s="42"/>
      <c r="N41" s="43"/>
      <c r="O41" s="44"/>
      <c r="P41" s="45"/>
      <c r="Q41" s="44"/>
      <c r="R41" s="46"/>
      <c r="S41" s="2"/>
      <c r="T41" s="904"/>
      <c r="U41" s="48"/>
      <c r="V41" s="41"/>
      <c r="W41" s="42"/>
      <c r="X41" s="43"/>
      <c r="Y41" s="44"/>
      <c r="Z41" s="45"/>
      <c r="AA41" s="44"/>
      <c r="AB41" s="46"/>
    </row>
    <row r="42" spans="1:28" ht="16.2" thickBot="1">
      <c r="A42" s="283" t="s">
        <v>166</v>
      </c>
      <c r="B42" s="284"/>
      <c r="C42" s="280"/>
      <c r="D42" s="280"/>
      <c r="E42" s="280"/>
      <c r="F42" s="280"/>
      <c r="G42" s="281"/>
      <c r="H42" s="282">
        <f>SUM(H26:H39)</f>
        <v>0</v>
      </c>
      <c r="I42" s="130"/>
      <c r="J42" s="2"/>
      <c r="K42" s="283" t="s">
        <v>166</v>
      </c>
      <c r="L42" s="284"/>
      <c r="M42" s="280"/>
      <c r="N42" s="280"/>
      <c r="O42" s="280"/>
      <c r="P42" s="280"/>
      <c r="Q42" s="281"/>
      <c r="R42" s="282">
        <f>SUM(R26:R39)</f>
        <v>0</v>
      </c>
      <c r="S42" s="2"/>
      <c r="T42" s="2"/>
      <c r="U42" s="283" t="s">
        <v>166</v>
      </c>
      <c r="V42" s="284"/>
      <c r="W42" s="280"/>
      <c r="X42" s="280"/>
      <c r="Y42" s="280"/>
      <c r="Z42" s="280"/>
      <c r="AA42" s="281"/>
      <c r="AB42" s="282">
        <f>SUM(AB26:AB39)</f>
        <v>0</v>
      </c>
    </row>
    <row r="43" spans="1:28" ht="16.2" thickTop="1">
      <c r="A43" s="105"/>
      <c r="B43" s="131"/>
      <c r="C43" s="132"/>
      <c r="D43" s="132"/>
      <c r="E43" s="132"/>
      <c r="F43" s="132"/>
      <c r="G43" s="133"/>
      <c r="H43" s="134"/>
      <c r="I43" s="130"/>
      <c r="J43" s="2"/>
      <c r="K43" s="105"/>
      <c r="L43" s="131"/>
      <c r="M43" s="132"/>
      <c r="N43" s="132"/>
      <c r="O43" s="132"/>
      <c r="P43" s="132"/>
      <c r="Q43" s="133"/>
      <c r="R43" s="134"/>
      <c r="S43" s="2"/>
      <c r="T43" s="2"/>
      <c r="U43" s="105"/>
      <c r="V43" s="131"/>
      <c r="W43" s="132"/>
      <c r="X43" s="132"/>
      <c r="Y43" s="132"/>
      <c r="Z43" s="132"/>
      <c r="AA43" s="133"/>
      <c r="AB43" s="134"/>
    </row>
    <row r="44" spans="1:28" ht="16.2" thickBot="1">
      <c r="A44" s="40"/>
      <c r="B44" s="41"/>
      <c r="C44" s="42"/>
      <c r="D44" s="43"/>
      <c r="E44" s="44"/>
      <c r="F44" s="45"/>
      <c r="G44" s="44"/>
      <c r="H44" s="46"/>
      <c r="I44" s="47"/>
      <c r="J44" s="2"/>
      <c r="K44" s="40"/>
      <c r="L44" s="41"/>
      <c r="M44" s="42"/>
      <c r="N44" s="43"/>
      <c r="O44" s="44"/>
      <c r="P44" s="45"/>
      <c r="Q44" s="44"/>
      <c r="R44" s="46"/>
      <c r="S44" s="2"/>
      <c r="T44" s="2"/>
      <c r="U44" s="40"/>
      <c r="V44" s="41"/>
      <c r="W44" s="42"/>
      <c r="X44" s="43"/>
      <c r="Y44" s="44"/>
      <c r="Z44" s="45"/>
      <c r="AA44" s="44"/>
      <c r="AB44" s="46"/>
    </row>
    <row r="45" spans="1:28" ht="16.2" thickBot="1">
      <c r="A45" s="905" t="s">
        <v>301</v>
      </c>
      <c r="B45" s="906"/>
      <c r="C45" s="906"/>
      <c r="D45" s="906"/>
      <c r="E45" s="906"/>
      <c r="F45" s="906"/>
      <c r="G45" s="906"/>
      <c r="H45" s="907"/>
      <c r="I45" s="61"/>
      <c r="J45" s="2"/>
      <c r="K45" s="905" t="s">
        <v>301</v>
      </c>
      <c r="L45" s="906"/>
      <c r="M45" s="906"/>
      <c r="N45" s="906"/>
      <c r="O45" s="906"/>
      <c r="P45" s="906"/>
      <c r="Q45" s="906"/>
      <c r="R45" s="907"/>
      <c r="S45" s="2"/>
      <c r="T45" s="2"/>
      <c r="U45" s="905" t="s">
        <v>301</v>
      </c>
      <c r="V45" s="906"/>
      <c r="W45" s="906"/>
      <c r="X45" s="906"/>
      <c r="Y45" s="906"/>
      <c r="Z45" s="906"/>
      <c r="AA45" s="906"/>
      <c r="AB45" s="907"/>
    </row>
    <row r="46" spans="1:28" ht="31.2">
      <c r="A46" s="110" t="s">
        <v>117</v>
      </c>
      <c r="B46" s="111" t="s">
        <v>220</v>
      </c>
      <c r="C46" s="112" t="s">
        <v>118</v>
      </c>
      <c r="D46" s="111" t="s">
        <v>119</v>
      </c>
      <c r="E46" s="112" t="s">
        <v>12</v>
      </c>
      <c r="F46" s="112" t="s">
        <v>120</v>
      </c>
      <c r="G46" s="111" t="s">
        <v>300</v>
      </c>
      <c r="H46" s="113" t="s">
        <v>121</v>
      </c>
      <c r="I46" s="114"/>
      <c r="J46" s="2"/>
      <c r="K46" s="110" t="s">
        <v>117</v>
      </c>
      <c r="L46" s="111" t="s">
        <v>220</v>
      </c>
      <c r="M46" s="112" t="s">
        <v>118</v>
      </c>
      <c r="N46" s="111" t="s">
        <v>119</v>
      </c>
      <c r="O46" s="112" t="s">
        <v>12</v>
      </c>
      <c r="P46" s="112" t="s">
        <v>120</v>
      </c>
      <c r="Q46" s="111" t="s">
        <v>300</v>
      </c>
      <c r="R46" s="113" t="s">
        <v>121</v>
      </c>
      <c r="S46" s="2"/>
      <c r="T46" s="2"/>
      <c r="U46" s="110" t="s">
        <v>117</v>
      </c>
      <c r="V46" s="111" t="s">
        <v>220</v>
      </c>
      <c r="W46" s="112" t="s">
        <v>118</v>
      </c>
      <c r="X46" s="111" t="s">
        <v>119</v>
      </c>
      <c r="Y46" s="112" t="s">
        <v>12</v>
      </c>
      <c r="Z46" s="112" t="s">
        <v>120</v>
      </c>
      <c r="AA46" s="111" t="s">
        <v>300</v>
      </c>
      <c r="AB46" s="113" t="s">
        <v>121</v>
      </c>
    </row>
    <row r="47" spans="1:28" ht="15.6">
      <c r="A47" s="115" t="s">
        <v>416</v>
      </c>
      <c r="B47" s="116"/>
      <c r="C47" s="57"/>
      <c r="D47" s="77" t="s">
        <v>146</v>
      </c>
      <c r="E47" s="139"/>
      <c r="F47" s="77" t="s">
        <v>146</v>
      </c>
      <c r="G47" s="39"/>
      <c r="H47" s="118"/>
      <c r="I47" s="114"/>
      <c r="J47" s="2"/>
      <c r="K47" s="115" t="s">
        <v>416</v>
      </c>
      <c r="L47" s="116"/>
      <c r="M47" s="57"/>
      <c r="N47" s="77" t="s">
        <v>146</v>
      </c>
      <c r="O47" s="139"/>
      <c r="P47" s="77" t="s">
        <v>146</v>
      </c>
      <c r="Q47" s="39"/>
      <c r="R47" s="118"/>
      <c r="S47" s="2"/>
      <c r="T47" s="2"/>
      <c r="U47" s="115" t="s">
        <v>416</v>
      </c>
      <c r="V47" s="116"/>
      <c r="W47" s="57"/>
      <c r="X47" s="77" t="s">
        <v>146</v>
      </c>
      <c r="Y47" s="139"/>
      <c r="Z47" s="77" t="s">
        <v>146</v>
      </c>
      <c r="AA47" s="39"/>
      <c r="AB47" s="118"/>
    </row>
    <row r="48" spans="1:28" ht="15.6">
      <c r="A48" s="386" t="s">
        <v>13</v>
      </c>
      <c r="B48" s="116"/>
      <c r="C48" s="15" t="str">
        <f>VLOOKUP($A48,CornFungicides,4,FALSE)</f>
        <v>None</v>
      </c>
      <c r="D48" s="387">
        <v>0</v>
      </c>
      <c r="E48" s="578">
        <f>VLOOKUP($A48,CornFungicides,3,FALSE)</f>
        <v>1</v>
      </c>
      <c r="F48" s="388">
        <v>0</v>
      </c>
      <c r="G48" s="44">
        <f>VLOOKUP($A48,CornFungicides,2,FALSE)</f>
        <v>0</v>
      </c>
      <c r="H48" s="46">
        <f>F48/E48*D48</f>
        <v>0</v>
      </c>
      <c r="I48" s="17"/>
      <c r="J48" s="60"/>
      <c r="K48" s="386" t="s">
        <v>13</v>
      </c>
      <c r="L48" s="116"/>
      <c r="M48" s="15" t="str">
        <f>VLOOKUP(K48,SoybeanFungicides,4,FALSE)</f>
        <v>None</v>
      </c>
      <c r="N48" s="387">
        <v>0</v>
      </c>
      <c r="O48" s="578">
        <f>VLOOKUP(K48,SoybeanFungicides,3,FALSE)</f>
        <v>1</v>
      </c>
      <c r="P48" s="388">
        <v>0</v>
      </c>
      <c r="Q48" s="44">
        <f>VLOOKUP(K48,SoybeanFungicides,2,FALSE)</f>
        <v>0</v>
      </c>
      <c r="R48" s="46">
        <f>P48/O48*N48</f>
        <v>0</v>
      </c>
      <c r="S48" s="60"/>
      <c r="T48" s="60"/>
      <c r="U48" s="386" t="s">
        <v>13</v>
      </c>
      <c r="V48" s="116"/>
      <c r="W48" s="15" t="str">
        <f>VLOOKUP(U48,WheatFungicides,4,FALSE)</f>
        <v>None</v>
      </c>
      <c r="X48" s="387">
        <v>0</v>
      </c>
      <c r="Y48" s="578">
        <f>VLOOKUP(U48,WheatFungicides,3,FALSE)</f>
        <v>1</v>
      </c>
      <c r="Z48" s="388">
        <v>0</v>
      </c>
      <c r="AA48" s="44">
        <f>VLOOKUP(U48,WheatFungicides,2,FALSE)</f>
        <v>0</v>
      </c>
      <c r="AB48" s="46">
        <f>Z48/Y48*X48</f>
        <v>0</v>
      </c>
    </row>
    <row r="49" spans="1:28" ht="15.6">
      <c r="A49" s="386" t="s">
        <v>13</v>
      </c>
      <c r="B49" s="116"/>
      <c r="C49" s="15" t="str">
        <f>VLOOKUP($A49,CornFungicides,4,FALSE)</f>
        <v>None</v>
      </c>
      <c r="D49" s="387">
        <v>0</v>
      </c>
      <c r="E49" s="578">
        <f>VLOOKUP($A49,CornFungicides,3,FALSE)</f>
        <v>1</v>
      </c>
      <c r="F49" s="388">
        <v>0</v>
      </c>
      <c r="G49" s="44">
        <f>VLOOKUP($A49,CornFungicides,2,FALSE)</f>
        <v>0</v>
      </c>
      <c r="H49" s="46">
        <f t="shared" ref="H49:H52" si="43">F49/E49*D49</f>
        <v>0</v>
      </c>
      <c r="I49" s="17"/>
      <c r="J49" s="60"/>
      <c r="K49" s="386" t="s">
        <v>13</v>
      </c>
      <c r="L49" s="116"/>
      <c r="M49" s="15" t="str">
        <f>VLOOKUP(K49,SoybeanFungicides,4,FALSE)</f>
        <v>None</v>
      </c>
      <c r="N49" s="387">
        <v>0</v>
      </c>
      <c r="O49" s="578">
        <f>VLOOKUP(K49,SoybeanFungicides,3,FALSE)</f>
        <v>1</v>
      </c>
      <c r="P49" s="388">
        <v>0</v>
      </c>
      <c r="Q49" s="44">
        <f>VLOOKUP(K49,SoybeanFungicides,2,FALSE)</f>
        <v>0</v>
      </c>
      <c r="R49" s="46">
        <f t="shared" ref="R49:R52" si="44">P49/O49*N49</f>
        <v>0</v>
      </c>
      <c r="S49" s="60"/>
      <c r="T49" s="60"/>
      <c r="U49" s="386" t="s">
        <v>13</v>
      </c>
      <c r="V49" s="116"/>
      <c r="W49" s="15" t="str">
        <f>VLOOKUP(U49,WheatFungicides,4,FALSE)</f>
        <v>None</v>
      </c>
      <c r="X49" s="387">
        <v>0</v>
      </c>
      <c r="Y49" s="578">
        <f>VLOOKUP(U49,WheatFungicides,3,FALSE)</f>
        <v>1</v>
      </c>
      <c r="Z49" s="388">
        <v>0</v>
      </c>
      <c r="AA49" s="44">
        <f>VLOOKUP(U49,WheatFungicides,2,FALSE)</f>
        <v>0</v>
      </c>
      <c r="AB49" s="46">
        <f t="shared" ref="AB49:AB52" si="45">Z49/Y49*X49</f>
        <v>0</v>
      </c>
    </row>
    <row r="50" spans="1:28" ht="15.6">
      <c r="A50" s="386" t="s">
        <v>13</v>
      </c>
      <c r="B50" s="116"/>
      <c r="C50" s="15" t="str">
        <f>VLOOKUP($A50,CornFungicides,4,FALSE)</f>
        <v>None</v>
      </c>
      <c r="D50" s="387">
        <v>0</v>
      </c>
      <c r="E50" s="578">
        <f>VLOOKUP($A50,CornFungicides,3,FALSE)</f>
        <v>1</v>
      </c>
      <c r="F50" s="388">
        <v>0</v>
      </c>
      <c r="G50" s="44">
        <f>VLOOKUP($A50,CornFungicides,2,FALSE)</f>
        <v>0</v>
      </c>
      <c r="H50" s="46">
        <f t="shared" si="43"/>
        <v>0</v>
      </c>
      <c r="I50" s="17"/>
      <c r="J50" s="60"/>
      <c r="K50" s="386" t="s">
        <v>13</v>
      </c>
      <c r="L50" s="116"/>
      <c r="M50" s="15" t="str">
        <f>VLOOKUP(K50,SoybeanFungicides,4,FALSE)</f>
        <v>None</v>
      </c>
      <c r="N50" s="387">
        <v>0</v>
      </c>
      <c r="O50" s="578">
        <f>VLOOKUP(K50,SoybeanFungicides,3,FALSE)</f>
        <v>1</v>
      </c>
      <c r="P50" s="388">
        <v>0</v>
      </c>
      <c r="Q50" s="44">
        <f>VLOOKUP(K50,SoybeanFungicides,2,FALSE)</f>
        <v>0</v>
      </c>
      <c r="R50" s="46">
        <f t="shared" si="44"/>
        <v>0</v>
      </c>
      <c r="S50" s="60"/>
      <c r="T50" s="60"/>
      <c r="U50" s="386" t="s">
        <v>13</v>
      </c>
      <c r="V50" s="116"/>
      <c r="W50" s="15" t="str">
        <f>VLOOKUP(U50,WheatFungicides,4,FALSE)</f>
        <v>None</v>
      </c>
      <c r="X50" s="387">
        <v>0</v>
      </c>
      <c r="Y50" s="578">
        <f>VLOOKUP(U50,WheatFungicides,3,FALSE)</f>
        <v>1</v>
      </c>
      <c r="Z50" s="388">
        <v>0</v>
      </c>
      <c r="AA50" s="44">
        <f>VLOOKUP(U50,WheatFungicides,2,FALSE)</f>
        <v>0</v>
      </c>
      <c r="AB50" s="46">
        <f t="shared" si="45"/>
        <v>0</v>
      </c>
    </row>
    <row r="51" spans="1:28" ht="15.6">
      <c r="A51" s="386" t="s">
        <v>13</v>
      </c>
      <c r="B51" s="116"/>
      <c r="C51" s="15" t="str">
        <f>VLOOKUP($A51,CornFungicides,4,FALSE)</f>
        <v>None</v>
      </c>
      <c r="D51" s="387">
        <v>0</v>
      </c>
      <c r="E51" s="578">
        <f>VLOOKUP($A51,CornFungicides,3,FALSE)</f>
        <v>1</v>
      </c>
      <c r="F51" s="388">
        <v>0</v>
      </c>
      <c r="G51" s="44">
        <f>VLOOKUP($A51,CornFungicides,2,FALSE)</f>
        <v>0</v>
      </c>
      <c r="H51" s="46">
        <f t="shared" si="43"/>
        <v>0</v>
      </c>
      <c r="I51" s="17"/>
      <c r="J51" s="60"/>
      <c r="K51" s="386" t="s">
        <v>13</v>
      </c>
      <c r="L51" s="116"/>
      <c r="M51" s="15" t="str">
        <f>VLOOKUP(K51,SoybeanFungicides,4,FALSE)</f>
        <v>None</v>
      </c>
      <c r="N51" s="387">
        <v>0</v>
      </c>
      <c r="O51" s="578">
        <f>VLOOKUP(K51,SoybeanFungicides,3,FALSE)</f>
        <v>1</v>
      </c>
      <c r="P51" s="388">
        <v>0</v>
      </c>
      <c r="Q51" s="44">
        <f>VLOOKUP(K51,SoybeanFungicides,2,FALSE)</f>
        <v>0</v>
      </c>
      <c r="R51" s="46">
        <f t="shared" si="44"/>
        <v>0</v>
      </c>
      <c r="S51" s="60"/>
      <c r="T51" s="60"/>
      <c r="U51" s="386" t="s">
        <v>13</v>
      </c>
      <c r="V51" s="116"/>
      <c r="W51" s="15" t="str">
        <f>VLOOKUP(U51,WheatFungicides,4,FALSE)</f>
        <v>None</v>
      </c>
      <c r="X51" s="387">
        <v>0</v>
      </c>
      <c r="Y51" s="578">
        <f>VLOOKUP(U51,WheatFungicides,3,FALSE)</f>
        <v>1</v>
      </c>
      <c r="Z51" s="388">
        <v>0</v>
      </c>
      <c r="AA51" s="44">
        <f>VLOOKUP(U51,WheatFungicides,2,FALSE)</f>
        <v>0</v>
      </c>
      <c r="AB51" s="46">
        <f t="shared" si="45"/>
        <v>0</v>
      </c>
    </row>
    <row r="52" spans="1:28" ht="15.6">
      <c r="A52" s="386" t="s">
        <v>13</v>
      </c>
      <c r="B52" s="116"/>
      <c r="C52" s="15" t="str">
        <f>VLOOKUP($A52,CornFungicides,4,FALSE)</f>
        <v>None</v>
      </c>
      <c r="D52" s="387">
        <v>0</v>
      </c>
      <c r="E52" s="578">
        <f>VLOOKUP($A52,CornFungicides,3,FALSE)</f>
        <v>1</v>
      </c>
      <c r="F52" s="388">
        <v>0</v>
      </c>
      <c r="G52" s="44">
        <f>VLOOKUP($A52,CornFungicides,2,FALSE)</f>
        <v>0</v>
      </c>
      <c r="H52" s="46">
        <f t="shared" si="43"/>
        <v>0</v>
      </c>
      <c r="I52" s="17"/>
      <c r="J52" s="60"/>
      <c r="K52" s="386" t="s">
        <v>13</v>
      </c>
      <c r="L52" s="116"/>
      <c r="M52" s="15" t="str">
        <f>VLOOKUP(K52,SoybeanFungicides,4,FALSE)</f>
        <v>None</v>
      </c>
      <c r="N52" s="387">
        <v>0</v>
      </c>
      <c r="O52" s="578">
        <f>VLOOKUP(K52,SoybeanFungicides,3,FALSE)</f>
        <v>1</v>
      </c>
      <c r="P52" s="388">
        <v>0</v>
      </c>
      <c r="Q52" s="44">
        <f>VLOOKUP(K52,SoybeanFungicides,2,FALSE)</f>
        <v>0</v>
      </c>
      <c r="R52" s="46">
        <f t="shared" si="44"/>
        <v>0</v>
      </c>
      <c r="S52" s="60"/>
      <c r="T52" s="60"/>
      <c r="U52" s="386" t="s">
        <v>13</v>
      </c>
      <c r="V52" s="116"/>
      <c r="W52" s="15" t="str">
        <f>VLOOKUP(U52,WheatFungicides,4,FALSE)</f>
        <v>None</v>
      </c>
      <c r="X52" s="387">
        <v>0</v>
      </c>
      <c r="Y52" s="578">
        <f>VLOOKUP(U52,WheatFungicides,3,FALSE)</f>
        <v>1</v>
      </c>
      <c r="Z52" s="388">
        <v>0</v>
      </c>
      <c r="AA52" s="44">
        <f>VLOOKUP(U52,WheatFungicides,2,FALSE)</f>
        <v>0</v>
      </c>
      <c r="AB52" s="46">
        <f t="shared" si="45"/>
        <v>0</v>
      </c>
    </row>
    <row r="53" spans="1:28" ht="15.6">
      <c r="A53" s="48"/>
      <c r="B53" s="116"/>
      <c r="C53" s="42"/>
      <c r="D53" s="53"/>
      <c r="E53" s="44"/>
      <c r="F53" s="54"/>
      <c r="G53" s="44"/>
      <c r="H53" s="46"/>
      <c r="I53" s="17"/>
      <c r="J53" s="60"/>
      <c r="K53" s="48"/>
      <c r="L53" s="116"/>
      <c r="M53" s="42"/>
      <c r="N53" s="53"/>
      <c r="O53" s="44"/>
      <c r="P53" s="54"/>
      <c r="Q53" s="44"/>
      <c r="R53" s="46"/>
      <c r="S53" s="60"/>
      <c r="T53" s="60"/>
      <c r="U53" s="48"/>
      <c r="V53" s="116"/>
      <c r="W53" s="42"/>
      <c r="X53" s="53"/>
      <c r="Y53" s="44"/>
      <c r="Z53" s="54"/>
      <c r="AA53" s="44"/>
      <c r="AB53" s="46"/>
    </row>
    <row r="54" spans="1:28" ht="15.6">
      <c r="A54" s="124" t="s">
        <v>415</v>
      </c>
      <c r="B54" s="116"/>
      <c r="C54" s="19"/>
      <c r="D54" s="76" t="s">
        <v>146</v>
      </c>
      <c r="E54" s="138"/>
      <c r="F54" s="76" t="s">
        <v>146</v>
      </c>
      <c r="G54" s="44"/>
      <c r="H54" s="46"/>
      <c r="I54" s="47"/>
      <c r="J54" s="2"/>
      <c r="K54" s="124" t="s">
        <v>415</v>
      </c>
      <c r="L54" s="116"/>
      <c r="M54" s="19"/>
      <c r="N54" s="76" t="s">
        <v>146</v>
      </c>
      <c r="O54" s="138"/>
      <c r="P54" s="76" t="s">
        <v>146</v>
      </c>
      <c r="Q54" s="11"/>
      <c r="R54" s="128"/>
      <c r="S54" s="2"/>
      <c r="T54" s="2"/>
      <c r="U54" s="124" t="s">
        <v>415</v>
      </c>
      <c r="V54" s="116"/>
      <c r="W54" s="19"/>
      <c r="X54" s="76" t="s">
        <v>146</v>
      </c>
      <c r="Y54" s="138"/>
      <c r="Z54" s="76" t="s">
        <v>146</v>
      </c>
      <c r="AA54" s="39"/>
      <c r="AB54" s="118"/>
    </row>
    <row r="55" spans="1:28" ht="15.6">
      <c r="A55" s="386" t="s">
        <v>13</v>
      </c>
      <c r="B55" s="125"/>
      <c r="C55" s="15" t="str">
        <f>VLOOKUP($A55,CornAdjuvants,4,FALSE)</f>
        <v>None</v>
      </c>
      <c r="D55" s="387">
        <v>0</v>
      </c>
      <c r="E55" s="578">
        <f>VLOOKUP($A55,CornAdjuvants,3,FALSE)</f>
        <v>1</v>
      </c>
      <c r="F55" s="388">
        <v>0</v>
      </c>
      <c r="G55" s="44">
        <f>VLOOKUP($A55,CornAdjuvants,2,FALSE)</f>
        <v>0</v>
      </c>
      <c r="H55" s="46">
        <f>F55/E55*D55</f>
        <v>0</v>
      </c>
      <c r="I55" s="47"/>
      <c r="J55" s="2"/>
      <c r="K55" s="386" t="s">
        <v>13</v>
      </c>
      <c r="L55" s="125"/>
      <c r="M55" s="15" t="str">
        <f>VLOOKUP($K55,CornAdjuvants,4,FALSE)</f>
        <v>None</v>
      </c>
      <c r="N55" s="387">
        <v>0</v>
      </c>
      <c r="O55" s="578">
        <f>VLOOKUP($K55,CornAdjuvants,3,FALSE)</f>
        <v>1</v>
      </c>
      <c r="P55" s="388">
        <v>0</v>
      </c>
      <c r="Q55" s="44">
        <f>VLOOKUP($K55,CornAdjuvants,2,FALSE)</f>
        <v>0</v>
      </c>
      <c r="R55" s="16">
        <f>P55/O55*N55</f>
        <v>0</v>
      </c>
      <c r="S55" s="2"/>
      <c r="T55" s="2"/>
      <c r="U55" s="386" t="s">
        <v>13</v>
      </c>
      <c r="V55" s="125"/>
      <c r="W55" s="15" t="str">
        <f>VLOOKUP(U55,CornAdjuvants,4,FALSE)</f>
        <v>None</v>
      </c>
      <c r="X55" s="387">
        <v>0</v>
      </c>
      <c r="Y55" s="578">
        <f>VLOOKUP(U55,CornAdjuvants,3,FALSE)</f>
        <v>1</v>
      </c>
      <c r="Z55" s="388">
        <v>0</v>
      </c>
      <c r="AA55" s="44">
        <f>VLOOKUP(U55,CornAdjuvants,2,FALSE)</f>
        <v>0</v>
      </c>
      <c r="AB55" s="46">
        <f>Z55/Y55*X55</f>
        <v>0</v>
      </c>
    </row>
    <row r="56" spans="1:28" ht="15.6">
      <c r="A56" s="386" t="s">
        <v>13</v>
      </c>
      <c r="B56" s="125"/>
      <c r="C56" s="15" t="str">
        <f>VLOOKUP($A56,CornAdjuvants,4,FALSE)</f>
        <v>None</v>
      </c>
      <c r="D56" s="387">
        <v>0</v>
      </c>
      <c r="E56" s="578">
        <f>VLOOKUP($A56,CornAdjuvants,3,FALSE)</f>
        <v>1</v>
      </c>
      <c r="F56" s="388">
        <v>0</v>
      </c>
      <c r="G56" s="44">
        <f>VLOOKUP($A56,CornAdjuvants,2,FALSE)</f>
        <v>0</v>
      </c>
      <c r="H56" s="46">
        <f t="shared" ref="H56:H59" si="46">F56/E56*D56</f>
        <v>0</v>
      </c>
      <c r="I56" s="47"/>
      <c r="J56" s="2"/>
      <c r="K56" s="386" t="s">
        <v>13</v>
      </c>
      <c r="L56" s="125"/>
      <c r="M56" s="15" t="str">
        <f>VLOOKUP($K56,CornAdjuvants,4,FALSE)</f>
        <v>None</v>
      </c>
      <c r="N56" s="387">
        <v>0</v>
      </c>
      <c r="O56" s="578">
        <f>VLOOKUP($K56,CornAdjuvants,3,FALSE)</f>
        <v>1</v>
      </c>
      <c r="P56" s="388">
        <v>0</v>
      </c>
      <c r="Q56" s="44">
        <f>VLOOKUP($K56,CornAdjuvants,2,FALSE)</f>
        <v>0</v>
      </c>
      <c r="R56" s="16">
        <f t="shared" ref="R56" si="47">P56/O56*N56</f>
        <v>0</v>
      </c>
      <c r="S56" s="2"/>
      <c r="T56" s="2"/>
      <c r="U56" s="386" t="s">
        <v>13</v>
      </c>
      <c r="V56" s="125"/>
      <c r="W56" s="15" t="str">
        <f>VLOOKUP(U56,CornAdjuvants,4,FALSE)</f>
        <v>None</v>
      </c>
      <c r="X56" s="387">
        <v>0</v>
      </c>
      <c r="Y56" s="578">
        <f>VLOOKUP(U56,CornAdjuvants,3,FALSE)</f>
        <v>1</v>
      </c>
      <c r="Z56" s="388">
        <v>0</v>
      </c>
      <c r="AA56" s="44">
        <f>VLOOKUP(U56,CornAdjuvants,2,FALSE)</f>
        <v>0</v>
      </c>
      <c r="AB56" s="46">
        <f t="shared" ref="AB56:AB59" si="48">Z56/Y56*X56</f>
        <v>0</v>
      </c>
    </row>
    <row r="57" spans="1:28" ht="15.6">
      <c r="A57" s="386" t="s">
        <v>13</v>
      </c>
      <c r="B57" s="125"/>
      <c r="C57" s="15" t="str">
        <f>VLOOKUP($A57,CornAdjuvants,4,FALSE)</f>
        <v>None</v>
      </c>
      <c r="D57" s="387">
        <v>0</v>
      </c>
      <c r="E57" s="578">
        <f>VLOOKUP($A57,CornAdjuvants,3,FALSE)</f>
        <v>1</v>
      </c>
      <c r="F57" s="388">
        <v>0</v>
      </c>
      <c r="G57" s="44">
        <f>VLOOKUP($A57,CornAdjuvants,2,FALSE)</f>
        <v>0</v>
      </c>
      <c r="H57" s="46">
        <f t="shared" si="46"/>
        <v>0</v>
      </c>
      <c r="I57" s="47"/>
      <c r="J57" s="2"/>
      <c r="K57" s="386" t="s">
        <v>13</v>
      </c>
      <c r="L57" s="125"/>
      <c r="M57" s="15" t="str">
        <f>VLOOKUP($K57,CornAdjuvants,4,FALSE)</f>
        <v>None</v>
      </c>
      <c r="N57" s="387">
        <v>0</v>
      </c>
      <c r="O57" s="578">
        <f>VLOOKUP($K57,CornAdjuvants,3,FALSE)</f>
        <v>1</v>
      </c>
      <c r="P57" s="388">
        <v>0</v>
      </c>
      <c r="Q57" s="44">
        <f>VLOOKUP($K57,CornAdjuvants,2,FALSE)</f>
        <v>0</v>
      </c>
      <c r="R57" s="16">
        <f>P57/O57*N57</f>
        <v>0</v>
      </c>
      <c r="S57" s="2"/>
      <c r="T57" s="2"/>
      <c r="U57" s="386" t="s">
        <v>13</v>
      </c>
      <c r="V57" s="125"/>
      <c r="W57" s="15" t="str">
        <f>VLOOKUP(U57,CornAdjuvants,4,FALSE)</f>
        <v>None</v>
      </c>
      <c r="X57" s="387">
        <v>0</v>
      </c>
      <c r="Y57" s="578">
        <f>VLOOKUP(U57,CornAdjuvants,3,FALSE)</f>
        <v>1</v>
      </c>
      <c r="Z57" s="388">
        <v>0</v>
      </c>
      <c r="AA57" s="44">
        <f>VLOOKUP(U57,CornAdjuvants,2,FALSE)</f>
        <v>0</v>
      </c>
      <c r="AB57" s="46">
        <f t="shared" si="48"/>
        <v>0</v>
      </c>
    </row>
    <row r="58" spans="1:28" ht="15.6">
      <c r="A58" s="386" t="s">
        <v>13</v>
      </c>
      <c r="B58" s="125"/>
      <c r="C58" s="15" t="str">
        <f>VLOOKUP($A58,CornAdjuvants,4,FALSE)</f>
        <v>None</v>
      </c>
      <c r="D58" s="387">
        <v>0</v>
      </c>
      <c r="E58" s="578">
        <f>VLOOKUP($A58,CornAdjuvants,3,FALSE)</f>
        <v>1</v>
      </c>
      <c r="F58" s="388">
        <v>0</v>
      </c>
      <c r="G58" s="44">
        <f>VLOOKUP($A58,CornAdjuvants,2,FALSE)</f>
        <v>0</v>
      </c>
      <c r="H58" s="46">
        <f t="shared" si="46"/>
        <v>0</v>
      </c>
      <c r="I58" s="47"/>
      <c r="J58" s="2"/>
      <c r="K58" s="386" t="s">
        <v>13</v>
      </c>
      <c r="L58" s="125"/>
      <c r="M58" s="15" t="str">
        <f>VLOOKUP($K58,CornAdjuvants,4,FALSE)</f>
        <v>None</v>
      </c>
      <c r="N58" s="387">
        <v>0</v>
      </c>
      <c r="O58" s="578">
        <f>VLOOKUP($K58,CornAdjuvants,3,FALSE)</f>
        <v>1</v>
      </c>
      <c r="P58" s="388">
        <v>0</v>
      </c>
      <c r="Q58" s="44">
        <f>VLOOKUP($K58,CornAdjuvants,2,FALSE)</f>
        <v>0</v>
      </c>
      <c r="R58" s="16">
        <f t="shared" ref="R58:R59" si="49">P58/O58*N58</f>
        <v>0</v>
      </c>
      <c r="S58" s="2"/>
      <c r="T58" s="2"/>
      <c r="U58" s="386" t="s">
        <v>13</v>
      </c>
      <c r="V58" s="125"/>
      <c r="W58" s="15" t="str">
        <f>VLOOKUP(U58,CornAdjuvants,4,FALSE)</f>
        <v>None</v>
      </c>
      <c r="X58" s="387">
        <v>0</v>
      </c>
      <c r="Y58" s="578">
        <f>VLOOKUP(U58,CornAdjuvants,3,FALSE)</f>
        <v>1</v>
      </c>
      <c r="Z58" s="388">
        <v>0</v>
      </c>
      <c r="AA58" s="44">
        <f>VLOOKUP(U58,CornAdjuvants,2,FALSE)</f>
        <v>0</v>
      </c>
      <c r="AB58" s="46">
        <f t="shared" si="48"/>
        <v>0</v>
      </c>
    </row>
    <row r="59" spans="1:28" ht="15.6">
      <c r="A59" s="386" t="s">
        <v>13</v>
      </c>
      <c r="B59" s="125"/>
      <c r="C59" s="15" t="str">
        <f>VLOOKUP($A59,CornAdjuvants,4,FALSE)</f>
        <v>None</v>
      </c>
      <c r="D59" s="387">
        <v>0</v>
      </c>
      <c r="E59" s="578">
        <f>VLOOKUP($A59,CornAdjuvants,3,FALSE)</f>
        <v>1</v>
      </c>
      <c r="F59" s="388">
        <v>0</v>
      </c>
      <c r="G59" s="44">
        <f>VLOOKUP($A59,CornAdjuvants,2,FALSE)</f>
        <v>0</v>
      </c>
      <c r="H59" s="46">
        <f t="shared" si="46"/>
        <v>0</v>
      </c>
      <c r="I59" s="47"/>
      <c r="J59" s="2"/>
      <c r="K59" s="386" t="s">
        <v>13</v>
      </c>
      <c r="L59" s="125"/>
      <c r="M59" s="15" t="str">
        <f>VLOOKUP($K59,CornAdjuvants,4,FALSE)</f>
        <v>None</v>
      </c>
      <c r="N59" s="387">
        <v>0</v>
      </c>
      <c r="O59" s="578">
        <f>VLOOKUP($K59,CornAdjuvants,3,FALSE)</f>
        <v>1</v>
      </c>
      <c r="P59" s="388">
        <v>0</v>
      </c>
      <c r="Q59" s="44">
        <f>VLOOKUP($K59,CornAdjuvants,2,FALSE)</f>
        <v>0</v>
      </c>
      <c r="R59" s="16">
        <f t="shared" si="49"/>
        <v>0</v>
      </c>
      <c r="S59" s="2"/>
      <c r="T59" s="2"/>
      <c r="U59" s="386" t="s">
        <v>13</v>
      </c>
      <c r="V59" s="125"/>
      <c r="W59" s="15" t="str">
        <f>VLOOKUP(U59,CornAdjuvants,4,FALSE)</f>
        <v>None</v>
      </c>
      <c r="X59" s="387">
        <v>0</v>
      </c>
      <c r="Y59" s="578">
        <f>VLOOKUP(U59,CornAdjuvants,3,FALSE)</f>
        <v>1</v>
      </c>
      <c r="Z59" s="388">
        <v>0</v>
      </c>
      <c r="AA59" s="44">
        <f>VLOOKUP(U59,CornAdjuvants,2,FALSE)</f>
        <v>0</v>
      </c>
      <c r="AB59" s="46">
        <f t="shared" si="48"/>
        <v>0</v>
      </c>
    </row>
    <row r="60" spans="1:28" ht="15.6">
      <c r="A60" s="48"/>
      <c r="B60" s="116"/>
      <c r="C60" s="42"/>
      <c r="D60" s="53"/>
      <c r="E60" s="44"/>
      <c r="F60" s="54"/>
      <c r="G60" s="44"/>
      <c r="H60" s="46"/>
      <c r="I60" s="47"/>
      <c r="J60" s="2"/>
      <c r="K60" s="48"/>
      <c r="L60" s="116"/>
      <c r="M60" s="42"/>
      <c r="N60" s="53"/>
      <c r="O60" s="44"/>
      <c r="P60" s="54"/>
      <c r="Q60" s="44"/>
      <c r="R60" s="46"/>
      <c r="S60" s="2"/>
      <c r="T60" s="2"/>
      <c r="U60" s="129"/>
      <c r="V60" s="125"/>
      <c r="W60" s="42"/>
      <c r="X60" s="53"/>
      <c r="Y60" s="44"/>
      <c r="Z60" s="54"/>
      <c r="AA60" s="44"/>
      <c r="AB60" s="46"/>
    </row>
    <row r="61" spans="1:28" ht="15.6">
      <c r="A61" s="48"/>
      <c r="B61" s="41"/>
      <c r="C61" s="42"/>
      <c r="D61" s="53"/>
      <c r="E61" s="44"/>
      <c r="F61" s="54"/>
      <c r="G61" s="44"/>
      <c r="H61" s="46"/>
      <c r="I61" s="47"/>
      <c r="J61" s="2"/>
      <c r="K61" s="48"/>
      <c r="L61" s="116"/>
      <c r="M61" s="42"/>
      <c r="N61" s="53"/>
      <c r="O61" s="44"/>
      <c r="P61" s="54"/>
      <c r="Q61" s="44"/>
      <c r="R61" s="46"/>
      <c r="S61" s="2"/>
      <c r="T61" s="2"/>
      <c r="U61" s="40"/>
      <c r="V61" s="41"/>
      <c r="W61" s="42"/>
      <c r="X61" s="53"/>
      <c r="Y61" s="44"/>
      <c r="Z61" s="54"/>
      <c r="AA61" s="44"/>
      <c r="AB61" s="46"/>
    </row>
    <row r="62" spans="1:28" ht="16.2" thickBot="1">
      <c r="A62" s="283" t="s">
        <v>286</v>
      </c>
      <c r="B62" s="284"/>
      <c r="C62" s="280"/>
      <c r="D62" s="285"/>
      <c r="E62" s="280"/>
      <c r="F62" s="285"/>
      <c r="G62" s="281"/>
      <c r="H62" s="282">
        <f>SUM(H48:H59)</f>
        <v>0</v>
      </c>
      <c r="I62" s="130"/>
      <c r="J62" s="2"/>
      <c r="K62" s="283" t="s">
        <v>286</v>
      </c>
      <c r="L62" s="284"/>
      <c r="M62" s="280"/>
      <c r="N62" s="285"/>
      <c r="O62" s="280"/>
      <c r="P62" s="285"/>
      <c r="Q62" s="281"/>
      <c r="R62" s="282">
        <f>SUM(R48:R59)</f>
        <v>0</v>
      </c>
      <c r="S62" s="2"/>
      <c r="T62" s="2"/>
      <c r="U62" s="283" t="s">
        <v>286</v>
      </c>
      <c r="V62" s="284"/>
      <c r="W62" s="280"/>
      <c r="X62" s="285"/>
      <c r="Y62" s="280"/>
      <c r="Z62" s="285"/>
      <c r="AA62" s="281"/>
      <c r="AB62" s="282">
        <f>SUM(AB48:AB59)</f>
        <v>0</v>
      </c>
    </row>
    <row r="63" spans="1:28" ht="16.2" thickTop="1">
      <c r="A63" s="48"/>
      <c r="B63" s="116"/>
      <c r="C63" s="42"/>
      <c r="D63" s="53"/>
      <c r="E63" s="44"/>
      <c r="F63" s="54"/>
      <c r="G63" s="44"/>
      <c r="H63" s="46"/>
      <c r="I63" s="47"/>
      <c r="J63" s="2"/>
      <c r="K63" s="48"/>
      <c r="L63" s="116"/>
      <c r="M63" s="42"/>
      <c r="N63" s="53"/>
      <c r="O63" s="44"/>
      <c r="P63" s="54"/>
      <c r="Q63" s="44"/>
      <c r="R63" s="46"/>
      <c r="S63" s="2"/>
      <c r="T63" s="2"/>
      <c r="U63" s="129"/>
      <c r="V63" s="116"/>
      <c r="W63" s="42"/>
      <c r="X63" s="53"/>
      <c r="Y63" s="44"/>
      <c r="Z63" s="54"/>
      <c r="AA63" s="44"/>
      <c r="AB63" s="46"/>
    </row>
    <row r="64" spans="1:28" ht="15.6">
      <c r="A64" s="48"/>
      <c r="B64" s="116"/>
      <c r="C64" s="42"/>
      <c r="D64" s="53"/>
      <c r="E64" s="44"/>
      <c r="F64" s="54"/>
      <c r="G64" s="44"/>
      <c r="H64" s="46"/>
      <c r="I64" s="47"/>
      <c r="J64" s="2"/>
      <c r="K64" s="48"/>
      <c r="L64" s="116"/>
      <c r="M64" s="42"/>
      <c r="N64" s="53"/>
      <c r="O64" s="44"/>
      <c r="P64" s="54"/>
      <c r="Q64" s="44"/>
      <c r="R64" s="46"/>
      <c r="S64" s="2"/>
      <c r="T64" s="2"/>
      <c r="U64" s="40"/>
      <c r="V64" s="116"/>
      <c r="W64" s="42"/>
      <c r="X64" s="53"/>
      <c r="Y64" s="44"/>
      <c r="Z64" s="54"/>
      <c r="AA64" s="44"/>
      <c r="AB64" s="46"/>
    </row>
    <row r="65" spans="1:28" ht="15.6">
      <c r="A65" s="115" t="s">
        <v>417</v>
      </c>
      <c r="B65" s="116"/>
      <c r="C65" s="57"/>
      <c r="D65" s="77" t="s">
        <v>146</v>
      </c>
      <c r="E65" s="139"/>
      <c r="F65" s="77" t="s">
        <v>146</v>
      </c>
      <c r="G65" s="39"/>
      <c r="H65" s="118"/>
      <c r="I65" s="114"/>
      <c r="J65" s="2"/>
      <c r="K65" s="115" t="s">
        <v>417</v>
      </c>
      <c r="L65" s="116"/>
      <c r="M65" s="57"/>
      <c r="N65" s="77" t="s">
        <v>146</v>
      </c>
      <c r="O65" s="139"/>
      <c r="P65" s="77" t="s">
        <v>146</v>
      </c>
      <c r="Q65" s="39"/>
      <c r="R65" s="118"/>
      <c r="S65" s="2"/>
      <c r="T65" s="2"/>
      <c r="U65" s="115" t="s">
        <v>417</v>
      </c>
      <c r="V65" s="116"/>
      <c r="W65" s="57"/>
      <c r="X65" s="77" t="s">
        <v>146</v>
      </c>
      <c r="Y65" s="139"/>
      <c r="Z65" s="77" t="s">
        <v>146</v>
      </c>
      <c r="AA65" s="39"/>
      <c r="AB65" s="118"/>
    </row>
    <row r="66" spans="1:28" ht="15.6">
      <c r="A66" s="386" t="s">
        <v>13</v>
      </c>
      <c r="B66" s="116"/>
      <c r="C66" s="15" t="str">
        <f>VLOOKUP($A66,CornInsecticides,4,FALSE)</f>
        <v>None</v>
      </c>
      <c r="D66" s="387">
        <v>0</v>
      </c>
      <c r="E66" s="578">
        <f>VLOOKUP($A66,CornInsecticides,3,FALSE)</f>
        <v>1</v>
      </c>
      <c r="F66" s="388">
        <v>0</v>
      </c>
      <c r="G66" s="44">
        <f>VLOOKUP($A66,CornInsecticides,2,FALSE)</f>
        <v>0</v>
      </c>
      <c r="H66" s="46">
        <f>F66/E66*D66</f>
        <v>0</v>
      </c>
      <c r="I66" s="17"/>
      <c r="J66" s="60"/>
      <c r="K66" s="386" t="s">
        <v>13</v>
      </c>
      <c r="L66" s="116"/>
      <c r="M66" s="15" t="str">
        <f>VLOOKUP(K66,SoybeanInsecticides,4,FALSE)</f>
        <v>None</v>
      </c>
      <c r="N66" s="387">
        <v>0</v>
      </c>
      <c r="O66" s="578">
        <f>VLOOKUP(K66,SoybeanInsecticides,3,FALSE)</f>
        <v>1</v>
      </c>
      <c r="P66" s="388">
        <v>0</v>
      </c>
      <c r="Q66" s="44">
        <f>VLOOKUP(K66,SoybeanInsecticides,2,FALSE)</f>
        <v>0</v>
      </c>
      <c r="R66" s="46">
        <f>P66/O66*N66</f>
        <v>0</v>
      </c>
      <c r="S66" s="60"/>
      <c r="T66" s="60"/>
      <c r="U66" s="386" t="s">
        <v>13</v>
      </c>
      <c r="V66" s="116"/>
      <c r="W66" s="15" t="str">
        <f>VLOOKUP(U66,WheatInsecticides,4,FALSE)</f>
        <v>None</v>
      </c>
      <c r="X66" s="387">
        <v>0</v>
      </c>
      <c r="Y66" s="578">
        <f>VLOOKUP(U66,WheatInsecticides,3,FALSE)</f>
        <v>1</v>
      </c>
      <c r="Z66" s="388">
        <v>0</v>
      </c>
      <c r="AA66" s="44">
        <f>VLOOKUP(U66,WheatInsecticides,2,FALSE)</f>
        <v>0</v>
      </c>
      <c r="AB66" s="46">
        <f>Z66/Y66*X66</f>
        <v>0</v>
      </c>
    </row>
    <row r="67" spans="1:28" ht="15.6">
      <c r="A67" s="386" t="s">
        <v>13</v>
      </c>
      <c r="B67" s="116"/>
      <c r="C67" s="15" t="str">
        <f>VLOOKUP($A67,CornInsecticides,4,FALSE)</f>
        <v>None</v>
      </c>
      <c r="D67" s="387">
        <v>0</v>
      </c>
      <c r="E67" s="578">
        <f>VLOOKUP($A67,CornInsecticides,3,FALSE)</f>
        <v>1</v>
      </c>
      <c r="F67" s="388">
        <v>0</v>
      </c>
      <c r="G67" s="44">
        <f>VLOOKUP($A67,CornInsecticides,2,FALSE)</f>
        <v>0</v>
      </c>
      <c r="H67" s="46">
        <f t="shared" ref="H67:H70" si="50">F67/E67*D67</f>
        <v>0</v>
      </c>
      <c r="I67" s="17"/>
      <c r="J67" s="60"/>
      <c r="K67" s="386" t="s">
        <v>13</v>
      </c>
      <c r="L67" s="116"/>
      <c r="M67" s="15" t="str">
        <f>VLOOKUP(K67,SoybeanInsecticides,4,FALSE)</f>
        <v>None</v>
      </c>
      <c r="N67" s="387">
        <v>0</v>
      </c>
      <c r="O67" s="578">
        <f>VLOOKUP(K67,SoybeanInsecticides,3,FALSE)</f>
        <v>1</v>
      </c>
      <c r="P67" s="388">
        <v>0</v>
      </c>
      <c r="Q67" s="44">
        <f>VLOOKUP(K67,SoybeanInsecticides,2,FALSE)</f>
        <v>0</v>
      </c>
      <c r="R67" s="46">
        <f t="shared" ref="R67:R70" si="51">P67/O67*N67</f>
        <v>0</v>
      </c>
      <c r="S67" s="60"/>
      <c r="T67" s="60"/>
      <c r="U67" s="386" t="s">
        <v>13</v>
      </c>
      <c r="V67" s="116"/>
      <c r="W67" s="15" t="str">
        <f>VLOOKUP(U67,WheatInsecticides,4,FALSE)</f>
        <v>None</v>
      </c>
      <c r="X67" s="387">
        <v>0</v>
      </c>
      <c r="Y67" s="578">
        <f>VLOOKUP(U67,WheatInsecticides,3,FALSE)</f>
        <v>1</v>
      </c>
      <c r="Z67" s="388">
        <v>0</v>
      </c>
      <c r="AA67" s="44">
        <f>VLOOKUP(U67,WheatInsecticides,2,FALSE)</f>
        <v>0</v>
      </c>
      <c r="AB67" s="46">
        <f t="shared" ref="AB67:AB70" si="52">Z67/Y67*X67</f>
        <v>0</v>
      </c>
    </row>
    <row r="68" spans="1:28" ht="15.6">
      <c r="A68" s="386" t="s">
        <v>13</v>
      </c>
      <c r="B68" s="116"/>
      <c r="C68" s="15" t="str">
        <f>VLOOKUP($A68,CornInsecticides,4,FALSE)</f>
        <v>None</v>
      </c>
      <c r="D68" s="387">
        <v>0</v>
      </c>
      <c r="E68" s="578">
        <f>VLOOKUP($A68,CornInsecticides,3,FALSE)</f>
        <v>1</v>
      </c>
      <c r="F68" s="388">
        <v>0</v>
      </c>
      <c r="G68" s="44">
        <f>VLOOKUP($A68,CornInsecticides,2,FALSE)</f>
        <v>0</v>
      </c>
      <c r="H68" s="46">
        <f t="shared" si="50"/>
        <v>0</v>
      </c>
      <c r="I68" s="17"/>
      <c r="J68" s="60"/>
      <c r="K68" s="386" t="s">
        <v>13</v>
      </c>
      <c r="L68" s="116"/>
      <c r="M68" s="15" t="str">
        <f>VLOOKUP(K68,SoybeanInsecticides,4,FALSE)</f>
        <v>None</v>
      </c>
      <c r="N68" s="387">
        <v>0</v>
      </c>
      <c r="O68" s="578">
        <f>VLOOKUP(K68,SoybeanInsecticides,3,FALSE)</f>
        <v>1</v>
      </c>
      <c r="P68" s="388">
        <v>0</v>
      </c>
      <c r="Q68" s="44">
        <f>VLOOKUP(K68,SoybeanInsecticides,2,FALSE)</f>
        <v>0</v>
      </c>
      <c r="R68" s="46">
        <f t="shared" si="51"/>
        <v>0</v>
      </c>
      <c r="S68" s="60"/>
      <c r="T68" s="60"/>
      <c r="U68" s="386" t="s">
        <v>13</v>
      </c>
      <c r="V68" s="116"/>
      <c r="W68" s="15" t="str">
        <f>VLOOKUP(U68,WheatInsecticides,4,FALSE)</f>
        <v>None</v>
      </c>
      <c r="X68" s="387">
        <v>0</v>
      </c>
      <c r="Y68" s="578">
        <f>VLOOKUP(U68,WheatInsecticides,3,FALSE)</f>
        <v>1</v>
      </c>
      <c r="Z68" s="388">
        <v>0</v>
      </c>
      <c r="AA68" s="44">
        <f>VLOOKUP(U68,WheatInsecticides,2,FALSE)</f>
        <v>0</v>
      </c>
      <c r="AB68" s="46">
        <f t="shared" si="52"/>
        <v>0</v>
      </c>
    </row>
    <row r="69" spans="1:28" ht="15.6">
      <c r="A69" s="386" t="s">
        <v>13</v>
      </c>
      <c r="B69" s="116"/>
      <c r="C69" s="15" t="str">
        <f>VLOOKUP($A69,CornInsecticides,4,FALSE)</f>
        <v>None</v>
      </c>
      <c r="D69" s="387">
        <v>0</v>
      </c>
      <c r="E69" s="578">
        <f>VLOOKUP($A69,CornInsecticides,3,FALSE)</f>
        <v>1</v>
      </c>
      <c r="F69" s="388">
        <v>0</v>
      </c>
      <c r="G69" s="44">
        <f>VLOOKUP($A69,CornInsecticides,2,FALSE)</f>
        <v>0</v>
      </c>
      <c r="H69" s="46">
        <f t="shared" si="50"/>
        <v>0</v>
      </c>
      <c r="I69" s="17"/>
      <c r="J69" s="60"/>
      <c r="K69" s="386" t="s">
        <v>13</v>
      </c>
      <c r="L69" s="116"/>
      <c r="M69" s="15" t="str">
        <f>VLOOKUP(K69,SoybeanInsecticides,4,FALSE)</f>
        <v>None</v>
      </c>
      <c r="N69" s="387">
        <v>0</v>
      </c>
      <c r="O69" s="578">
        <f>VLOOKUP(K69,SoybeanInsecticides,3,FALSE)</f>
        <v>1</v>
      </c>
      <c r="P69" s="388">
        <v>0</v>
      </c>
      <c r="Q69" s="44">
        <f>VLOOKUP(K69,SoybeanInsecticides,2,FALSE)</f>
        <v>0</v>
      </c>
      <c r="R69" s="46">
        <f t="shared" si="51"/>
        <v>0</v>
      </c>
      <c r="S69" s="60"/>
      <c r="T69" s="60"/>
      <c r="U69" s="386" t="s">
        <v>13</v>
      </c>
      <c r="V69" s="116"/>
      <c r="W69" s="15" t="str">
        <f>VLOOKUP(U69,WheatInsecticides,4,FALSE)</f>
        <v>None</v>
      </c>
      <c r="X69" s="387">
        <v>0</v>
      </c>
      <c r="Y69" s="578">
        <f>VLOOKUP(U69,WheatInsecticides,3,FALSE)</f>
        <v>1</v>
      </c>
      <c r="Z69" s="388">
        <v>0</v>
      </c>
      <c r="AA69" s="44">
        <f>VLOOKUP(U69,WheatInsecticides,2,FALSE)</f>
        <v>0</v>
      </c>
      <c r="AB69" s="46">
        <f t="shared" si="52"/>
        <v>0</v>
      </c>
    </row>
    <row r="70" spans="1:28" ht="15.6">
      <c r="A70" s="386" t="s">
        <v>13</v>
      </c>
      <c r="B70" s="116"/>
      <c r="C70" s="15" t="str">
        <f>VLOOKUP($A70,CornInsecticides,4,FALSE)</f>
        <v>None</v>
      </c>
      <c r="D70" s="387">
        <v>0</v>
      </c>
      <c r="E70" s="578">
        <f>VLOOKUP($A70,CornInsecticides,3,FALSE)</f>
        <v>1</v>
      </c>
      <c r="F70" s="388">
        <v>0</v>
      </c>
      <c r="G70" s="44">
        <f>VLOOKUP($A70,CornInsecticides,2,FALSE)</f>
        <v>0</v>
      </c>
      <c r="H70" s="46">
        <f t="shared" si="50"/>
        <v>0</v>
      </c>
      <c r="I70" s="17"/>
      <c r="J70" s="60"/>
      <c r="K70" s="386" t="s">
        <v>13</v>
      </c>
      <c r="L70" s="116"/>
      <c r="M70" s="15" t="str">
        <f>VLOOKUP(K70,SoybeanInsecticides,4,FALSE)</f>
        <v>None</v>
      </c>
      <c r="N70" s="387">
        <v>0</v>
      </c>
      <c r="O70" s="578">
        <f>VLOOKUP(K70,SoybeanInsecticides,3,FALSE)</f>
        <v>1</v>
      </c>
      <c r="P70" s="388">
        <v>0</v>
      </c>
      <c r="Q70" s="44">
        <f>VLOOKUP(K70,SoybeanInsecticides,2,FALSE)</f>
        <v>0</v>
      </c>
      <c r="R70" s="46">
        <f t="shared" si="51"/>
        <v>0</v>
      </c>
      <c r="S70" s="60"/>
      <c r="T70" s="60"/>
      <c r="U70" s="386" t="s">
        <v>13</v>
      </c>
      <c r="V70" s="116"/>
      <c r="W70" s="15" t="str">
        <f>VLOOKUP(U70,WheatInsecticides,4,FALSE)</f>
        <v>None</v>
      </c>
      <c r="X70" s="387">
        <v>0</v>
      </c>
      <c r="Y70" s="578">
        <f>VLOOKUP(U70,WheatInsecticides,3,FALSE)</f>
        <v>1</v>
      </c>
      <c r="Z70" s="388">
        <v>0</v>
      </c>
      <c r="AA70" s="44">
        <f>VLOOKUP(U70,WheatInsecticides,2,FALSE)</f>
        <v>0</v>
      </c>
      <c r="AB70" s="46">
        <f t="shared" si="52"/>
        <v>0</v>
      </c>
    </row>
    <row r="71" spans="1:28" ht="15.6">
      <c r="A71" s="48"/>
      <c r="B71" s="116"/>
      <c r="C71" s="42"/>
      <c r="D71" s="43"/>
      <c r="E71" s="44"/>
      <c r="F71" s="45"/>
      <c r="G71" s="44"/>
      <c r="H71" s="46"/>
      <c r="I71" s="47"/>
      <c r="J71" s="2"/>
      <c r="K71" s="48"/>
      <c r="L71" s="125"/>
      <c r="M71" s="42"/>
      <c r="N71" s="43"/>
      <c r="O71" s="44"/>
      <c r="P71" s="45"/>
      <c r="Q71" s="44"/>
      <c r="R71" s="46"/>
      <c r="S71" s="2"/>
      <c r="T71" s="2"/>
      <c r="U71" s="48"/>
      <c r="V71" s="125"/>
      <c r="W71" s="42"/>
      <c r="X71" s="43"/>
      <c r="Y71" s="44"/>
      <c r="Z71" s="45"/>
      <c r="AA71" s="44"/>
      <c r="AB71" s="46"/>
    </row>
    <row r="72" spans="1:28" ht="15.6">
      <c r="A72" s="124" t="s">
        <v>415</v>
      </c>
      <c r="B72" s="116"/>
      <c r="C72" s="19"/>
      <c r="D72" s="76" t="s">
        <v>146</v>
      </c>
      <c r="E72" s="138"/>
      <c r="F72" s="76" t="s">
        <v>146</v>
      </c>
      <c r="G72" s="44"/>
      <c r="H72" s="46"/>
      <c r="I72" s="47"/>
      <c r="J72" s="2"/>
      <c r="K72" s="124" t="s">
        <v>415</v>
      </c>
      <c r="L72" s="116"/>
      <c r="M72" s="19"/>
      <c r="N72" s="76" t="s">
        <v>146</v>
      </c>
      <c r="O72" s="138"/>
      <c r="P72" s="76" t="s">
        <v>146</v>
      </c>
      <c r="Q72" s="11"/>
      <c r="R72" s="128"/>
      <c r="S72" s="2"/>
      <c r="T72" s="2"/>
      <c r="U72" s="115" t="s">
        <v>417</v>
      </c>
      <c r="V72" s="116"/>
      <c r="W72" s="57"/>
      <c r="X72" s="77" t="s">
        <v>146</v>
      </c>
      <c r="Y72" s="139"/>
      <c r="Z72" s="77" t="s">
        <v>146</v>
      </c>
      <c r="AA72" s="39"/>
      <c r="AB72" s="118"/>
    </row>
    <row r="73" spans="1:28" ht="15.6">
      <c r="A73" s="386" t="s">
        <v>13</v>
      </c>
      <c r="B73" s="125"/>
      <c r="C73" s="15" t="str">
        <f>VLOOKUP($A73,CornAdjuvants,4,FALSE)</f>
        <v>None</v>
      </c>
      <c r="D73" s="387">
        <v>0</v>
      </c>
      <c r="E73" s="578">
        <f>VLOOKUP($A73,CornAdjuvants,3,FALSE)</f>
        <v>1</v>
      </c>
      <c r="F73" s="388">
        <v>0</v>
      </c>
      <c r="G73" s="44">
        <f>VLOOKUP($A73,CornAdjuvants,2,FALSE)</f>
        <v>0</v>
      </c>
      <c r="H73" s="46">
        <f>F73/E73*D73</f>
        <v>0</v>
      </c>
      <c r="I73" s="47"/>
      <c r="J73" s="2"/>
      <c r="K73" s="386" t="s">
        <v>13</v>
      </c>
      <c r="L73" s="125"/>
      <c r="M73" s="15" t="str">
        <f>VLOOKUP($K73,CornAdjuvants,4,FALSE)</f>
        <v>None</v>
      </c>
      <c r="N73" s="387">
        <v>0</v>
      </c>
      <c r="O73" s="578">
        <f>VLOOKUP($K73,CornAdjuvants,3,FALSE)</f>
        <v>1</v>
      </c>
      <c r="P73" s="388">
        <v>0</v>
      </c>
      <c r="Q73" s="44">
        <f>VLOOKUP($K73,CornAdjuvants,2,FALSE)</f>
        <v>0</v>
      </c>
      <c r="R73" s="16">
        <f>P73/O73*N73</f>
        <v>0</v>
      </c>
      <c r="S73" s="2"/>
      <c r="T73" s="2"/>
      <c r="U73" s="386" t="s">
        <v>13</v>
      </c>
      <c r="V73" s="116"/>
      <c r="W73" s="15" t="str">
        <f>VLOOKUP(U73,WheatInsecticides,4,FALSE)</f>
        <v>None</v>
      </c>
      <c r="X73" s="387">
        <v>0</v>
      </c>
      <c r="Y73" s="578">
        <f>VLOOKUP(U73,WheatInsecticides,3,FALSE)</f>
        <v>1</v>
      </c>
      <c r="Z73" s="388">
        <v>0</v>
      </c>
      <c r="AA73" s="44">
        <f>VLOOKUP(U73,WheatInsecticides,2,FALSE)</f>
        <v>0</v>
      </c>
      <c r="AB73" s="46">
        <f>Z73/Y73*X73</f>
        <v>0</v>
      </c>
    </row>
    <row r="74" spans="1:28" ht="15.6">
      <c r="A74" s="386" t="s">
        <v>13</v>
      </c>
      <c r="B74" s="125"/>
      <c r="C74" s="15" t="str">
        <f>VLOOKUP($A74,CornAdjuvants,4,FALSE)</f>
        <v>None</v>
      </c>
      <c r="D74" s="387">
        <v>0</v>
      </c>
      <c r="E74" s="578">
        <f>VLOOKUP($A74,CornAdjuvants,3,FALSE)</f>
        <v>1</v>
      </c>
      <c r="F74" s="388">
        <v>0</v>
      </c>
      <c r="G74" s="44">
        <f>VLOOKUP($A74,CornAdjuvants,2,FALSE)</f>
        <v>0</v>
      </c>
      <c r="H74" s="46">
        <f t="shared" ref="H74:H77" si="53">F74/E74*D74</f>
        <v>0</v>
      </c>
      <c r="I74" s="47"/>
      <c r="J74" s="2"/>
      <c r="K74" s="386" t="s">
        <v>13</v>
      </c>
      <c r="L74" s="125"/>
      <c r="M74" s="15" t="str">
        <f>VLOOKUP($K74,CornAdjuvants,4,FALSE)</f>
        <v>None</v>
      </c>
      <c r="N74" s="387">
        <v>0</v>
      </c>
      <c r="O74" s="578">
        <f>VLOOKUP($K74,CornAdjuvants,3,FALSE)</f>
        <v>1</v>
      </c>
      <c r="P74" s="388">
        <v>0</v>
      </c>
      <c r="Q74" s="44">
        <f>VLOOKUP($K74,CornAdjuvants,2,FALSE)</f>
        <v>0</v>
      </c>
      <c r="R74" s="16">
        <f t="shared" ref="R74" si="54">P74/O74*N74</f>
        <v>0</v>
      </c>
      <c r="S74" s="2"/>
      <c r="T74" s="2"/>
      <c r="U74" s="386" t="s">
        <v>13</v>
      </c>
      <c r="V74" s="116"/>
      <c r="W74" s="15" t="str">
        <f>VLOOKUP(U74,WheatInsecticides,4,FALSE)</f>
        <v>None</v>
      </c>
      <c r="X74" s="387">
        <v>0</v>
      </c>
      <c r="Y74" s="578">
        <f>VLOOKUP(U74,WheatInsecticides,3,FALSE)</f>
        <v>1</v>
      </c>
      <c r="Z74" s="388">
        <v>0</v>
      </c>
      <c r="AA74" s="44">
        <f>VLOOKUP(U74,WheatInsecticides,2,FALSE)</f>
        <v>0</v>
      </c>
      <c r="AB74" s="46">
        <f t="shared" ref="AB74:AB77" si="55">Z74/Y74*X74</f>
        <v>0</v>
      </c>
    </row>
    <row r="75" spans="1:28" ht="15.6">
      <c r="A75" s="386" t="s">
        <v>13</v>
      </c>
      <c r="B75" s="125"/>
      <c r="C75" s="15" t="str">
        <f>VLOOKUP($A75,CornAdjuvants,4,FALSE)</f>
        <v>None</v>
      </c>
      <c r="D75" s="387">
        <v>0</v>
      </c>
      <c r="E75" s="578">
        <f>VLOOKUP($A75,CornAdjuvants,3,FALSE)</f>
        <v>1</v>
      </c>
      <c r="F75" s="388">
        <v>0</v>
      </c>
      <c r="G75" s="44">
        <f>VLOOKUP($A75,CornAdjuvants,2,FALSE)</f>
        <v>0</v>
      </c>
      <c r="H75" s="46">
        <f t="shared" si="53"/>
        <v>0</v>
      </c>
      <c r="I75" s="47"/>
      <c r="J75" s="2"/>
      <c r="K75" s="386" t="s">
        <v>13</v>
      </c>
      <c r="L75" s="125"/>
      <c r="M75" s="15" t="str">
        <f>VLOOKUP($K75,CornAdjuvants,4,FALSE)</f>
        <v>None</v>
      </c>
      <c r="N75" s="387">
        <v>0</v>
      </c>
      <c r="O75" s="578">
        <f>VLOOKUP($K75,CornAdjuvants,3,FALSE)</f>
        <v>1</v>
      </c>
      <c r="P75" s="388">
        <v>0</v>
      </c>
      <c r="Q75" s="44">
        <f>VLOOKUP($K75,CornAdjuvants,2,FALSE)</f>
        <v>0</v>
      </c>
      <c r="R75" s="16">
        <f>P75/O75*N75</f>
        <v>0</v>
      </c>
      <c r="S75" s="2"/>
      <c r="T75" s="2"/>
      <c r="U75" s="386" t="s">
        <v>13</v>
      </c>
      <c r="V75" s="116"/>
      <c r="W75" s="15" t="str">
        <f>VLOOKUP(U75,WheatInsecticides,4,FALSE)</f>
        <v>None</v>
      </c>
      <c r="X75" s="387">
        <v>0</v>
      </c>
      <c r="Y75" s="578">
        <f>VLOOKUP(U75,WheatInsecticides,3,FALSE)</f>
        <v>1</v>
      </c>
      <c r="Z75" s="388">
        <v>0</v>
      </c>
      <c r="AA75" s="44">
        <f>VLOOKUP(U75,WheatInsecticides,2,FALSE)</f>
        <v>0</v>
      </c>
      <c r="AB75" s="46">
        <f t="shared" si="55"/>
        <v>0</v>
      </c>
    </row>
    <row r="76" spans="1:28" ht="15.6">
      <c r="A76" s="386" t="s">
        <v>13</v>
      </c>
      <c r="B76" s="125"/>
      <c r="C76" s="15" t="str">
        <f>VLOOKUP($A76,CornAdjuvants,4,FALSE)</f>
        <v>None</v>
      </c>
      <c r="D76" s="387">
        <v>0</v>
      </c>
      <c r="E76" s="578">
        <f>VLOOKUP($A76,CornAdjuvants,3,FALSE)</f>
        <v>1</v>
      </c>
      <c r="F76" s="388">
        <v>0</v>
      </c>
      <c r="G76" s="44">
        <f>VLOOKUP($A76,CornAdjuvants,2,FALSE)</f>
        <v>0</v>
      </c>
      <c r="H76" s="46">
        <f t="shared" si="53"/>
        <v>0</v>
      </c>
      <c r="I76" s="47"/>
      <c r="J76" s="2"/>
      <c r="K76" s="386" t="s">
        <v>13</v>
      </c>
      <c r="L76" s="125"/>
      <c r="M76" s="15" t="str">
        <f>VLOOKUP($K76,CornAdjuvants,4,FALSE)</f>
        <v>None</v>
      </c>
      <c r="N76" s="387">
        <v>0</v>
      </c>
      <c r="O76" s="578">
        <f>VLOOKUP($K76,CornAdjuvants,3,FALSE)</f>
        <v>1</v>
      </c>
      <c r="P76" s="388">
        <v>0</v>
      </c>
      <c r="Q76" s="44">
        <f>VLOOKUP($K76,CornAdjuvants,2,FALSE)</f>
        <v>0</v>
      </c>
      <c r="R76" s="16">
        <f t="shared" ref="R76:R77" si="56">P76/O76*N76</f>
        <v>0</v>
      </c>
      <c r="S76" s="2"/>
      <c r="T76" s="2"/>
      <c r="U76" s="386" t="s">
        <v>13</v>
      </c>
      <c r="V76" s="116"/>
      <c r="W76" s="15" t="str">
        <f>VLOOKUP(U76,WheatInsecticides,4,FALSE)</f>
        <v>None</v>
      </c>
      <c r="X76" s="387">
        <v>0</v>
      </c>
      <c r="Y76" s="578">
        <f>VLOOKUP(U76,WheatInsecticides,3,FALSE)</f>
        <v>1</v>
      </c>
      <c r="Z76" s="388">
        <v>0</v>
      </c>
      <c r="AA76" s="44">
        <f>VLOOKUP(U76,WheatInsecticides,2,FALSE)</f>
        <v>0</v>
      </c>
      <c r="AB76" s="46">
        <f t="shared" si="55"/>
        <v>0</v>
      </c>
    </row>
    <row r="77" spans="1:28" ht="15.6">
      <c r="A77" s="386" t="s">
        <v>13</v>
      </c>
      <c r="B77" s="125"/>
      <c r="C77" s="15" t="str">
        <f>VLOOKUP($A77,CornAdjuvants,4,FALSE)</f>
        <v>None</v>
      </c>
      <c r="D77" s="387">
        <v>0</v>
      </c>
      <c r="E77" s="578">
        <f>VLOOKUP($A77,CornAdjuvants,3,FALSE)</f>
        <v>1</v>
      </c>
      <c r="F77" s="388">
        <v>0</v>
      </c>
      <c r="G77" s="44">
        <f>VLOOKUP($A77,CornAdjuvants,2,FALSE)</f>
        <v>0</v>
      </c>
      <c r="H77" s="46">
        <f t="shared" si="53"/>
        <v>0</v>
      </c>
      <c r="K77" s="386" t="s">
        <v>13</v>
      </c>
      <c r="L77" s="125"/>
      <c r="M77" s="15" t="str">
        <f>VLOOKUP($K77,CornAdjuvants,4,FALSE)</f>
        <v>None</v>
      </c>
      <c r="N77" s="387">
        <v>0</v>
      </c>
      <c r="O77" s="578">
        <f>VLOOKUP($K77,CornAdjuvants,3,FALSE)</f>
        <v>1</v>
      </c>
      <c r="P77" s="388">
        <v>0</v>
      </c>
      <c r="Q77" s="44">
        <f>VLOOKUP($K77,CornAdjuvants,2,FALSE)</f>
        <v>0</v>
      </c>
      <c r="R77" s="16">
        <f t="shared" si="56"/>
        <v>0</v>
      </c>
      <c r="U77" s="386" t="s">
        <v>13</v>
      </c>
      <c r="V77" s="116"/>
      <c r="W77" s="15" t="str">
        <f>VLOOKUP(U77,WheatInsecticides,4,FALSE)</f>
        <v>None</v>
      </c>
      <c r="X77" s="387">
        <v>0</v>
      </c>
      <c r="Y77" s="578">
        <f>VLOOKUP(U77,WheatInsecticides,3,FALSE)</f>
        <v>1</v>
      </c>
      <c r="Z77" s="388">
        <v>0</v>
      </c>
      <c r="AA77" s="44">
        <f>VLOOKUP(U77,WheatInsecticides,2,FALSE)</f>
        <v>0</v>
      </c>
      <c r="AB77" s="46">
        <f t="shared" si="55"/>
        <v>0</v>
      </c>
    </row>
    <row r="78" spans="1:28" ht="15.6">
      <c r="A78" s="48"/>
      <c r="B78" s="116"/>
      <c r="C78" s="42"/>
      <c r="D78" s="43"/>
      <c r="E78" s="44"/>
      <c r="F78" s="45"/>
      <c r="G78" s="44"/>
      <c r="H78" s="46"/>
      <c r="I78" s="47"/>
      <c r="J78" s="2"/>
      <c r="K78" s="48"/>
      <c r="L78" s="41"/>
      <c r="M78" s="42"/>
      <c r="N78" s="43"/>
      <c r="O78" s="44"/>
      <c r="P78" s="45"/>
      <c r="Q78" s="44"/>
      <c r="R78" s="46"/>
      <c r="S78" s="2"/>
      <c r="T78" s="2"/>
      <c r="U78" s="48"/>
      <c r="V78" s="41"/>
      <c r="W78" s="42"/>
      <c r="X78" s="43"/>
      <c r="Y78" s="44"/>
      <c r="Z78" s="45"/>
      <c r="AA78" s="44"/>
      <c r="AB78" s="46"/>
    </row>
    <row r="79" spans="1:28" ht="16.2" thickBot="1">
      <c r="A79" s="283" t="s">
        <v>287</v>
      </c>
      <c r="B79" s="284"/>
      <c r="C79" s="280"/>
      <c r="D79" s="280"/>
      <c r="E79" s="280"/>
      <c r="F79" s="280"/>
      <c r="G79" s="281"/>
      <c r="H79" s="282">
        <f>SUM(H66:H77)</f>
        <v>0</v>
      </c>
      <c r="I79" s="130"/>
      <c r="J79" s="2"/>
      <c r="K79" s="283" t="s">
        <v>287</v>
      </c>
      <c r="L79" s="284"/>
      <c r="M79" s="280"/>
      <c r="N79" s="280"/>
      <c r="O79" s="280"/>
      <c r="P79" s="280"/>
      <c r="Q79" s="281"/>
      <c r="R79" s="282">
        <f>SUM(R66:R77)</f>
        <v>0</v>
      </c>
      <c r="S79" s="2"/>
      <c r="T79" s="2"/>
      <c r="U79" s="283" t="s">
        <v>287</v>
      </c>
      <c r="V79" s="284"/>
      <c r="W79" s="280"/>
      <c r="X79" s="280"/>
      <c r="Y79" s="280"/>
      <c r="Z79" s="280"/>
      <c r="AA79" s="281"/>
      <c r="AB79" s="282">
        <f>SUM(AB66:AB77)</f>
        <v>0</v>
      </c>
    </row>
    <row r="80" spans="1:28" ht="16.2" thickTop="1">
      <c r="A80" s="55"/>
      <c r="B80" s="56"/>
      <c r="C80" s="56"/>
      <c r="D80" s="2"/>
      <c r="E80" s="2"/>
      <c r="F80" s="2"/>
      <c r="G80" s="57"/>
      <c r="H80" s="58"/>
      <c r="I80" s="2"/>
      <c r="J80" s="2"/>
      <c r="K80" s="55"/>
      <c r="L80" s="56"/>
      <c r="M80" s="56"/>
      <c r="N80" s="2"/>
      <c r="O80" s="2"/>
      <c r="P80" s="2"/>
      <c r="Q80" s="57"/>
      <c r="R80" s="58"/>
      <c r="S80" s="2"/>
      <c r="T80" s="2"/>
      <c r="U80" s="55"/>
      <c r="V80" s="56"/>
      <c r="W80" s="56"/>
      <c r="X80" s="2"/>
      <c r="Y80" s="2"/>
      <c r="Z80" s="2"/>
      <c r="AA80" s="57"/>
      <c r="AB80" s="58"/>
    </row>
    <row r="81" spans="1:28" ht="15.6">
      <c r="A81" s="55"/>
      <c r="B81" s="56"/>
      <c r="C81" s="56"/>
      <c r="D81" s="2"/>
      <c r="E81" s="2"/>
      <c r="F81" s="2"/>
      <c r="G81" s="57"/>
      <c r="H81" s="58"/>
      <c r="I81" s="2"/>
      <c r="J81" s="2"/>
      <c r="K81" s="55"/>
      <c r="L81" s="56"/>
      <c r="M81" s="56"/>
      <c r="N81" s="2"/>
      <c r="O81" s="2"/>
      <c r="P81" s="2"/>
      <c r="Q81" s="57"/>
      <c r="R81" s="58"/>
      <c r="S81" s="2"/>
      <c r="T81" s="2"/>
      <c r="U81" s="55"/>
      <c r="V81" s="56"/>
      <c r="W81" s="56"/>
      <c r="X81" s="2"/>
      <c r="Y81" s="2"/>
      <c r="Z81" s="2"/>
      <c r="AA81" s="57"/>
      <c r="AB81" s="58"/>
    </row>
    <row r="82" spans="1:28" ht="16.2" thickBot="1">
      <c r="A82" s="275" t="s">
        <v>160</v>
      </c>
      <c r="B82" s="276"/>
      <c r="C82" s="277"/>
      <c r="D82" s="277"/>
      <c r="E82" s="277"/>
      <c r="F82" s="277"/>
      <c r="G82" s="278"/>
      <c r="H82" s="279">
        <f>H79+H62+H42+H20</f>
        <v>0</v>
      </c>
      <c r="I82" s="130"/>
      <c r="J82" s="2"/>
      <c r="K82" s="275" t="s">
        <v>160</v>
      </c>
      <c r="L82" s="276"/>
      <c r="M82" s="277"/>
      <c r="N82" s="277"/>
      <c r="O82" s="277"/>
      <c r="P82" s="277"/>
      <c r="Q82" s="278"/>
      <c r="R82" s="279">
        <f>R79+R62+R42+R20</f>
        <v>0</v>
      </c>
      <c r="S82" s="2"/>
      <c r="T82" s="2"/>
      <c r="U82" s="275" t="s">
        <v>160</v>
      </c>
      <c r="V82" s="276"/>
      <c r="W82" s="277"/>
      <c r="X82" s="277"/>
      <c r="Y82" s="277"/>
      <c r="Z82" s="277"/>
      <c r="AA82" s="278"/>
      <c r="AB82" s="279">
        <f>AB79+AB62+AB42+AB20</f>
        <v>0</v>
      </c>
    </row>
    <row r="83" spans="1:28" ht="16.2" thickTop="1">
      <c r="A83" s="55"/>
      <c r="B83" s="56"/>
      <c r="C83" s="56"/>
      <c r="D83" s="2"/>
      <c r="E83" s="2"/>
      <c r="F83" s="2"/>
      <c r="G83" s="57"/>
      <c r="H83" s="58"/>
      <c r="I83" s="2"/>
      <c r="J83" s="2"/>
      <c r="K83" s="55"/>
      <c r="L83" s="56"/>
      <c r="M83" s="56"/>
      <c r="N83" s="2"/>
      <c r="O83" s="2"/>
      <c r="P83" s="2"/>
      <c r="Q83" s="57"/>
      <c r="R83" s="58"/>
      <c r="S83" s="2"/>
      <c r="T83" s="2"/>
      <c r="U83" s="55"/>
      <c r="V83" s="56"/>
      <c r="W83" s="56"/>
      <c r="X83" s="2"/>
      <c r="Y83" s="2"/>
      <c r="Z83" s="2"/>
      <c r="AA83" s="57"/>
      <c r="AB83" s="58"/>
    </row>
    <row r="84" spans="1:28" ht="16.2" thickBot="1">
      <c r="A84" s="33"/>
      <c r="B84" s="107"/>
      <c r="C84" s="107"/>
      <c r="D84" s="107"/>
      <c r="E84" s="107"/>
      <c r="F84" s="107"/>
      <c r="G84" s="135"/>
      <c r="H84" s="108"/>
      <c r="I84" s="2"/>
      <c r="J84" s="2"/>
      <c r="K84" s="33"/>
      <c r="L84" s="107"/>
      <c r="M84" s="107"/>
      <c r="N84" s="107"/>
      <c r="O84" s="107"/>
      <c r="P84" s="107"/>
      <c r="Q84" s="135"/>
      <c r="R84" s="108"/>
      <c r="S84" s="2"/>
      <c r="T84" s="2"/>
      <c r="U84" s="33"/>
      <c r="V84" s="107"/>
      <c r="W84" s="107"/>
      <c r="X84" s="107"/>
      <c r="Y84" s="107"/>
      <c r="Z84" s="107"/>
      <c r="AA84" s="135"/>
      <c r="AB84" s="108"/>
    </row>
  </sheetData>
  <sheetProtection sheet="1" objects="1" scenarios="1"/>
  <dataConsolidate/>
  <mergeCells count="16">
    <mergeCell ref="A3:H3"/>
    <mergeCell ref="A23:H23"/>
    <mergeCell ref="A1:H1"/>
    <mergeCell ref="A45:H45"/>
    <mergeCell ref="K1:R1"/>
    <mergeCell ref="K3:R3"/>
    <mergeCell ref="K23:R23"/>
    <mergeCell ref="K45:R45"/>
    <mergeCell ref="J18:J19"/>
    <mergeCell ref="J40:J41"/>
    <mergeCell ref="T40:T41"/>
    <mergeCell ref="U1:AB1"/>
    <mergeCell ref="U3:AB3"/>
    <mergeCell ref="U23:AB23"/>
    <mergeCell ref="U45:AB45"/>
    <mergeCell ref="T18:T19"/>
  </mergeCells>
  <conditionalFormatting sqref="H55:H59">
    <cfRule type="dataBar" priority="10">
      <dataBar>
        <cfvo type="min"/>
        <cfvo type="max"/>
        <color rgb="FF63C384"/>
      </dataBar>
    </cfRule>
  </conditionalFormatting>
  <conditionalFormatting sqref="H67:H70">
    <cfRule type="dataBar" priority="17">
      <dataBar>
        <cfvo type="min"/>
        <cfvo type="max"/>
        <color rgb="FF63C384"/>
      </dataBar>
    </cfRule>
  </conditionalFormatting>
  <conditionalFormatting sqref="H72">
    <cfRule type="dataBar" priority="5">
      <dataBar>
        <cfvo type="min"/>
        <cfvo type="max"/>
        <color rgb="FF63C384"/>
      </dataBar>
    </cfRule>
  </conditionalFormatting>
  <conditionalFormatting sqref="H73:H77">
    <cfRule type="dataBar" priority="4">
      <dataBar>
        <cfvo type="min"/>
        <cfvo type="max"/>
        <color rgb="FF63C384"/>
      </dataBar>
    </cfRule>
  </conditionalFormatting>
  <conditionalFormatting sqref="H6:I11">
    <cfRule type="dataBar" priority="84">
      <dataBar>
        <cfvo type="min"/>
        <cfvo type="max"/>
        <color rgb="FF63C384"/>
      </dataBar>
    </cfRule>
  </conditionalFormatting>
  <conditionalFormatting sqref="H21:I21 H14:I19">
    <cfRule type="dataBar" priority="80">
      <dataBar>
        <cfvo type="min"/>
        <cfvo type="max"/>
        <color rgb="FF63C384"/>
      </dataBar>
    </cfRule>
  </conditionalFormatting>
  <conditionalFormatting sqref="H22:I22 H12:I12">
    <cfRule type="dataBar" priority="85">
      <dataBar>
        <cfvo type="min"/>
        <cfvo type="max"/>
        <color rgb="FF63C384"/>
      </dataBar>
    </cfRule>
  </conditionalFormatting>
  <conditionalFormatting sqref="H26:I31">
    <cfRule type="dataBar" priority="78">
      <dataBar>
        <cfvo type="min"/>
        <cfvo type="max"/>
        <color rgb="FF63C384"/>
      </dataBar>
    </cfRule>
  </conditionalFormatting>
  <conditionalFormatting sqref="H32:I33">
    <cfRule type="dataBar" priority="79">
      <dataBar>
        <cfvo type="min"/>
        <cfvo type="max"/>
        <color rgb="FF63C384"/>
      </dataBar>
    </cfRule>
  </conditionalFormatting>
  <conditionalFormatting sqref="H35:I39 H44:I44">
    <cfRule type="dataBar" priority="229">
      <dataBar>
        <cfvo type="min"/>
        <cfvo type="max"/>
        <color rgb="FF63C384"/>
      </dataBar>
    </cfRule>
  </conditionalFormatting>
  <conditionalFormatting sqref="H40:I40">
    <cfRule type="dataBar" priority="72">
      <dataBar>
        <cfvo type="min"/>
        <cfvo type="max"/>
        <color rgb="FF63C384"/>
      </dataBar>
    </cfRule>
  </conditionalFormatting>
  <conditionalFormatting sqref="H41:I41">
    <cfRule type="dataBar" priority="73">
      <dataBar>
        <cfvo type="min"/>
        <cfvo type="max"/>
        <color rgb="FF63C384"/>
      </dataBar>
    </cfRule>
  </conditionalFormatting>
  <conditionalFormatting sqref="H61:I61">
    <cfRule type="dataBar" priority="71">
      <dataBar>
        <cfvo type="min"/>
        <cfvo type="max"/>
        <color rgb="FF63C384"/>
      </dataBar>
    </cfRule>
  </conditionalFormatting>
  <conditionalFormatting sqref="H63:I63 H60:I60 I55:I59 H48:I54">
    <cfRule type="dataBar" priority="213">
      <dataBar>
        <cfvo type="min"/>
        <cfvo type="max"/>
        <color rgb="FF63C384"/>
      </dataBar>
    </cfRule>
  </conditionalFormatting>
  <conditionalFormatting sqref="H64:I64">
    <cfRule type="dataBar" priority="75">
      <dataBar>
        <cfvo type="min"/>
        <cfvo type="max"/>
        <color rgb="FF63C384"/>
      </dataBar>
    </cfRule>
  </conditionalFormatting>
  <conditionalFormatting sqref="H66:I66 I67:I70">
    <cfRule type="dataBar" priority="74">
      <dataBar>
        <cfvo type="min"/>
        <cfvo type="max"/>
        <color rgb="FF63C384"/>
      </dataBar>
    </cfRule>
  </conditionalFormatting>
  <conditionalFormatting sqref="H71:I71 I72:I76">
    <cfRule type="dataBar" priority="587">
      <dataBar>
        <cfvo type="min"/>
        <cfvo type="max"/>
        <color rgb="FF63C384"/>
      </dataBar>
    </cfRule>
  </conditionalFormatting>
  <conditionalFormatting sqref="H78:I78">
    <cfRule type="dataBar" priority="69">
      <dataBar>
        <cfvo type="min"/>
        <cfvo type="max"/>
        <color rgb="FF63C384"/>
      </dataBar>
    </cfRule>
  </conditionalFormatting>
  <conditionalFormatting sqref="R6:R11">
    <cfRule type="dataBar" priority="65">
      <dataBar>
        <cfvo type="min"/>
        <cfvo type="max"/>
        <color rgb="FF63C384"/>
      </dataBar>
    </cfRule>
  </conditionalFormatting>
  <conditionalFormatting sqref="R14:R18">
    <cfRule type="dataBar" priority="40">
      <dataBar>
        <cfvo type="min"/>
        <cfvo type="max"/>
        <color rgb="FF63C384"/>
      </dataBar>
    </cfRule>
  </conditionalFormatting>
  <conditionalFormatting sqref="R19 R21">
    <cfRule type="dataBar" priority="64">
      <dataBar>
        <cfvo type="min"/>
        <cfvo type="max"/>
        <color rgb="FF63C384"/>
      </dataBar>
    </cfRule>
  </conditionalFormatting>
  <conditionalFormatting sqref="R22 R12">
    <cfRule type="dataBar" priority="66">
      <dataBar>
        <cfvo type="min"/>
        <cfvo type="max"/>
        <color rgb="FF63C384"/>
      </dataBar>
    </cfRule>
  </conditionalFormatting>
  <conditionalFormatting sqref="R26">
    <cfRule type="dataBar" priority="36">
      <dataBar>
        <cfvo type="min"/>
        <cfvo type="max"/>
        <color rgb="FF63C384"/>
      </dataBar>
    </cfRule>
  </conditionalFormatting>
  <conditionalFormatting sqref="R27:R31">
    <cfRule type="dataBar" priority="13">
      <dataBar>
        <cfvo type="min"/>
        <cfvo type="max"/>
        <color rgb="FF63C384"/>
      </dataBar>
    </cfRule>
  </conditionalFormatting>
  <conditionalFormatting sqref="R32:R33">
    <cfRule type="dataBar" priority="63">
      <dataBar>
        <cfvo type="min"/>
        <cfvo type="max"/>
        <color rgb="FF63C384"/>
      </dataBar>
    </cfRule>
  </conditionalFormatting>
  <conditionalFormatting sqref="R35:R39">
    <cfRule type="dataBar" priority="28">
      <dataBar>
        <cfvo type="min"/>
        <cfvo type="max"/>
        <color rgb="FF63C384"/>
      </dataBar>
    </cfRule>
  </conditionalFormatting>
  <conditionalFormatting sqref="R40">
    <cfRule type="dataBar" priority="58">
      <dataBar>
        <cfvo type="min"/>
        <cfvo type="max"/>
        <color rgb="FF63C384"/>
      </dataBar>
    </cfRule>
  </conditionalFormatting>
  <conditionalFormatting sqref="R41">
    <cfRule type="dataBar" priority="59">
      <dataBar>
        <cfvo type="min"/>
        <cfvo type="max"/>
        <color rgb="FF63C384"/>
      </dataBar>
    </cfRule>
  </conditionalFormatting>
  <conditionalFormatting sqref="R44">
    <cfRule type="dataBar" priority="68">
      <dataBar>
        <cfvo type="min"/>
        <cfvo type="max"/>
        <color rgb="FF63C384"/>
      </dataBar>
    </cfRule>
  </conditionalFormatting>
  <conditionalFormatting sqref="R48:R52 R63 R60">
    <cfRule type="dataBar" priority="67">
      <dataBar>
        <cfvo type="min"/>
        <cfvo type="max"/>
        <color rgb="FF63C384"/>
      </dataBar>
    </cfRule>
  </conditionalFormatting>
  <conditionalFormatting sqref="R53">
    <cfRule type="dataBar" priority="9">
      <dataBar>
        <cfvo type="min"/>
        <cfvo type="max"/>
        <color rgb="FF63C384"/>
      </dataBar>
    </cfRule>
  </conditionalFormatting>
  <conditionalFormatting sqref="R55:R59">
    <cfRule type="dataBar" priority="7">
      <dataBar>
        <cfvo type="min"/>
        <cfvo type="max"/>
        <color rgb="FF63C384"/>
      </dataBar>
    </cfRule>
  </conditionalFormatting>
  <conditionalFormatting sqref="R61">
    <cfRule type="dataBar" priority="57">
      <dataBar>
        <cfvo type="min"/>
        <cfvo type="max"/>
        <color rgb="FF63C384"/>
      </dataBar>
    </cfRule>
  </conditionalFormatting>
  <conditionalFormatting sqref="R64">
    <cfRule type="dataBar" priority="61">
      <dataBar>
        <cfvo type="min"/>
        <cfvo type="max"/>
        <color rgb="FF63C384"/>
      </dataBar>
    </cfRule>
  </conditionalFormatting>
  <conditionalFormatting sqref="R66">
    <cfRule type="dataBar" priority="60">
      <dataBar>
        <cfvo type="min"/>
        <cfvo type="max"/>
        <color rgb="FF63C384"/>
      </dataBar>
    </cfRule>
  </conditionalFormatting>
  <conditionalFormatting sqref="R67:R70">
    <cfRule type="dataBar" priority="14">
      <dataBar>
        <cfvo type="min"/>
        <cfvo type="max"/>
        <color rgb="FF63C384"/>
      </dataBar>
    </cfRule>
  </conditionalFormatting>
  <conditionalFormatting sqref="R71">
    <cfRule type="dataBar" priority="589">
      <dataBar>
        <cfvo type="min"/>
        <cfvo type="max"/>
        <color rgb="FF63C384"/>
      </dataBar>
    </cfRule>
  </conditionalFormatting>
  <conditionalFormatting sqref="R73:R77">
    <cfRule type="dataBar" priority="3">
      <dataBar>
        <cfvo type="min"/>
        <cfvo type="max"/>
        <color rgb="FF63C384"/>
      </dataBar>
    </cfRule>
  </conditionalFormatting>
  <conditionalFormatting sqref="R78">
    <cfRule type="dataBar" priority="55">
      <dataBar>
        <cfvo type="min"/>
        <cfvo type="max"/>
        <color rgb="FF63C384"/>
      </dataBar>
    </cfRule>
  </conditionalFormatting>
  <conditionalFormatting sqref="AB6:AB11">
    <cfRule type="dataBar" priority="51">
      <dataBar>
        <cfvo type="min"/>
        <cfvo type="max"/>
        <color rgb="FF63C384"/>
      </dataBar>
    </cfRule>
  </conditionalFormatting>
  <conditionalFormatting sqref="AB14:AB18">
    <cfRule type="dataBar" priority="25">
      <dataBar>
        <cfvo type="min"/>
        <cfvo type="max"/>
        <color rgb="FF63C384"/>
      </dataBar>
    </cfRule>
  </conditionalFormatting>
  <conditionalFormatting sqref="AB21 AB19">
    <cfRule type="dataBar" priority="50">
      <dataBar>
        <cfvo type="min"/>
        <cfvo type="max"/>
        <color rgb="FF63C384"/>
      </dataBar>
    </cfRule>
  </conditionalFormatting>
  <conditionalFormatting sqref="AB22 AB12">
    <cfRule type="dataBar" priority="52">
      <dataBar>
        <cfvo type="min"/>
        <cfvo type="max"/>
        <color rgb="FF63C384"/>
      </dataBar>
    </cfRule>
  </conditionalFormatting>
  <conditionalFormatting sqref="AB26">
    <cfRule type="dataBar" priority="11">
      <dataBar>
        <cfvo type="min"/>
        <cfvo type="max"/>
        <color rgb="FF63C384"/>
      </dataBar>
    </cfRule>
  </conditionalFormatting>
  <conditionalFormatting sqref="AB27">
    <cfRule type="dataBar" priority="12">
      <dataBar>
        <cfvo type="min"/>
        <cfvo type="max"/>
        <color rgb="FF63C384"/>
      </dataBar>
    </cfRule>
  </conditionalFormatting>
  <conditionalFormatting sqref="AB28:AB31">
    <cfRule type="dataBar" priority="24">
      <dataBar>
        <cfvo type="min"/>
        <cfvo type="max"/>
        <color rgb="FF63C384"/>
      </dataBar>
    </cfRule>
  </conditionalFormatting>
  <conditionalFormatting sqref="AB32:AB33">
    <cfRule type="dataBar" priority="49">
      <dataBar>
        <cfvo type="min"/>
        <cfvo type="max"/>
        <color rgb="FF63C384"/>
      </dataBar>
    </cfRule>
  </conditionalFormatting>
  <conditionalFormatting sqref="AB35:AB39">
    <cfRule type="dataBar" priority="26">
      <dataBar>
        <cfvo type="min"/>
        <cfvo type="max"/>
        <color rgb="FF63C384"/>
      </dataBar>
    </cfRule>
  </conditionalFormatting>
  <conditionalFormatting sqref="AB40">
    <cfRule type="dataBar" priority="44">
      <dataBar>
        <cfvo type="min"/>
        <cfvo type="max"/>
        <color rgb="FF63C384"/>
      </dataBar>
    </cfRule>
  </conditionalFormatting>
  <conditionalFormatting sqref="AB41">
    <cfRule type="dataBar" priority="45">
      <dataBar>
        <cfvo type="min"/>
        <cfvo type="max"/>
        <color rgb="FF63C384"/>
      </dataBar>
    </cfRule>
  </conditionalFormatting>
  <conditionalFormatting sqref="AB44">
    <cfRule type="dataBar" priority="54">
      <dataBar>
        <cfvo type="min"/>
        <cfvo type="max"/>
        <color rgb="FF63C384"/>
      </dataBar>
    </cfRule>
  </conditionalFormatting>
  <conditionalFormatting sqref="AB48:AB52 AB63 AB60">
    <cfRule type="dataBar" priority="35">
      <dataBar>
        <cfvo type="min"/>
        <cfvo type="max"/>
        <color rgb="FF63C384"/>
      </dataBar>
    </cfRule>
  </conditionalFormatting>
  <conditionalFormatting sqref="AB53">
    <cfRule type="dataBar" priority="8">
      <dataBar>
        <cfvo type="min"/>
        <cfvo type="max"/>
        <color rgb="FF63C384"/>
      </dataBar>
    </cfRule>
  </conditionalFormatting>
  <conditionalFormatting sqref="AB55:AB59">
    <cfRule type="dataBar" priority="6">
      <dataBar>
        <cfvo type="min"/>
        <cfvo type="max"/>
        <color rgb="FF63C384"/>
      </dataBar>
    </cfRule>
  </conditionalFormatting>
  <conditionalFormatting sqref="AB61">
    <cfRule type="dataBar" priority="32">
      <dataBar>
        <cfvo type="min"/>
        <cfvo type="max"/>
        <color rgb="FF63C384"/>
      </dataBar>
    </cfRule>
  </conditionalFormatting>
  <conditionalFormatting sqref="AB64">
    <cfRule type="dataBar" priority="34">
      <dataBar>
        <cfvo type="min"/>
        <cfvo type="max"/>
        <color rgb="FF63C384"/>
      </dataBar>
    </cfRule>
  </conditionalFormatting>
  <conditionalFormatting sqref="AB66">
    <cfRule type="dataBar" priority="33">
      <dataBar>
        <cfvo type="min"/>
        <cfvo type="max"/>
        <color rgb="FF63C384"/>
      </dataBar>
    </cfRule>
  </conditionalFormatting>
  <conditionalFormatting sqref="AB67:AB70">
    <cfRule type="dataBar" priority="15">
      <dataBar>
        <cfvo type="min"/>
        <cfvo type="max"/>
        <color rgb="FF63C384"/>
      </dataBar>
    </cfRule>
  </conditionalFormatting>
  <conditionalFormatting sqref="AB71">
    <cfRule type="dataBar" priority="591">
      <dataBar>
        <cfvo type="min"/>
        <cfvo type="max"/>
        <color rgb="FF63C384"/>
      </dataBar>
    </cfRule>
  </conditionalFormatting>
  <conditionalFormatting sqref="AB73">
    <cfRule type="dataBar" priority="2">
      <dataBar>
        <cfvo type="min"/>
        <cfvo type="max"/>
        <color rgb="FF63C384"/>
      </dataBar>
    </cfRule>
  </conditionalFormatting>
  <conditionalFormatting sqref="AB74:AB77">
    <cfRule type="dataBar" priority="1">
      <dataBar>
        <cfvo type="min"/>
        <cfvo type="max"/>
        <color rgb="FF63C384"/>
      </dataBar>
    </cfRule>
  </conditionalFormatting>
  <conditionalFormatting sqref="AB78">
    <cfRule type="dataBar" priority="30">
      <dataBar>
        <cfvo type="min"/>
        <cfvo type="max"/>
        <color rgb="FF63C384"/>
      </dataBar>
    </cfRule>
  </conditionalFormatting>
  <dataValidations count="4">
    <dataValidation type="list" allowBlank="1" showInputMessage="1" showErrorMessage="1" sqref="A44:B44 B61 U64 A21:B21 B41 U61:V61 K44:L44 L78 V78 K21:L21 L41 V41 U44:V44 U21:V21" xr:uid="{00000000-0002-0000-0300-000000000000}">
      <formula1>$A$34:$A$44</formula1>
    </dataValidation>
    <dataValidation type="list" allowBlank="1" showInputMessage="1" showErrorMessage="1" sqref="L40 B40 V40" xr:uid="{00000000-0002-0000-0300-000001000000}">
      <formula1>$A$49:$A$66</formula1>
    </dataValidation>
    <dataValidation type="list" allowBlank="1" showInputMessage="1" showErrorMessage="1" sqref="B35:B39 V55:V59 L55:L59 L14:L18 K19:L19 U19:V19 V14:V18 V35:V39 L35:L39 B55:B59 B73:B77 L73:L77" xr:uid="{00000000-0002-0000-0300-000002000000}">
      <formula1>$A$98:$A$104</formula1>
    </dataValidation>
    <dataValidation type="list" allowBlank="1" showInputMessage="1" showErrorMessage="1" sqref="U60:V60 U63 L71 V71" xr:uid="{00000000-0002-0000-0300-000003000000}">
      <formula1>$A$108:$A$115</formula1>
    </dataValidation>
  </dataValidations>
  <printOptions horizontalCentered="1"/>
  <pageMargins left="0.7" right="0.7" top="0.75" bottom="0.75" header="0.3" footer="0.3"/>
  <pageSetup scale="61" orientation="portrait" r:id="rId1"/>
  <colBreaks count="1" manualBreakCount="1">
    <brk id="10" max="1048575" man="1"/>
  </colBreak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300-000005000000}">
          <x14:formula1>
            <xm:f>'Chemical List (Corn)'!$A$111:$A$123</xm:f>
          </x14:formula1>
          <xm:sqref>K14:K18 A35:A39 K35:K39 U35:U39 U14:U18 A14:B19 A55:A59 K55:K59 U55:U59 A73:A77 K73:K77</xm:sqref>
        </x14:dataValidation>
        <x14:dataValidation type="list" allowBlank="1" showInputMessage="1" showErrorMessage="1" xr:uid="{00000000-0002-0000-0300-000006000000}">
          <x14:formula1>
            <xm:f>'Chemical List (Corn)'!$A$4:$A$56</xm:f>
          </x14:formula1>
          <xm:sqref>A6:A11</xm:sqref>
        </x14:dataValidation>
        <x14:dataValidation type="list" allowBlank="1" showInputMessage="1" showErrorMessage="1" xr:uid="{00000000-0002-0000-0300-000007000000}">
          <x14:formula1>
            <xm:f>'Chemical List (Corn)'!$A$59:$A$107</xm:f>
          </x14:formula1>
          <xm:sqref>A26:A31</xm:sqref>
        </x14:dataValidation>
        <x14:dataValidation type="list" allowBlank="1" showInputMessage="1" showErrorMessage="1" xr:uid="{00000000-0002-0000-0300-00000B000000}">
          <x14:formula1>
            <xm:f>'Chemical List (Corn)'!$A$128:$A$149</xm:f>
          </x14:formula1>
          <xm:sqref>A48:A52</xm:sqref>
        </x14:dataValidation>
        <x14:dataValidation type="list" allowBlank="1" showInputMessage="1" showErrorMessage="1" xr:uid="{77BCDC8F-E118-48A1-8BED-EC6076E3E84A}">
          <x14:formula1>
            <xm:f>'Chemical List (Soys)'!$A$61:$A$102</xm:f>
          </x14:formula1>
          <xm:sqref>K26:K31</xm:sqref>
        </x14:dataValidation>
        <x14:dataValidation type="list" allowBlank="1" showInputMessage="1" showErrorMessage="1" xr:uid="{8ECA4679-0048-41D8-A66B-095BC7A67CCD}">
          <x14:formula1>
            <xm:f>'Chemical List (Soys)'!$A$106:$A$129</xm:f>
          </x14:formula1>
          <xm:sqref>K48:K52</xm:sqref>
        </x14:dataValidation>
        <x14:dataValidation type="list" allowBlank="1" showInputMessage="1" showErrorMessage="1" xr:uid="{CA677D68-5B37-4C19-B4E4-76D37D4E3C98}">
          <x14:formula1>
            <xm:f>'Chemical List (Wheat)'!$A$4:$A$35</xm:f>
          </x14:formula1>
          <xm:sqref>U6:U11 U26:U31</xm:sqref>
        </x14:dataValidation>
        <x14:dataValidation type="list" allowBlank="1" showInputMessage="1" showErrorMessage="1" xr:uid="{2A1520D5-E476-49B5-A379-D3BDC436FEFF}">
          <x14:formula1>
            <xm:f>'Chemical List (Wheat)'!$A$40:$A$63</xm:f>
          </x14:formula1>
          <xm:sqref>U48:U52</xm:sqref>
        </x14:dataValidation>
        <x14:dataValidation type="list" allowBlank="1" showInputMessage="1" showErrorMessage="1" xr:uid="{00000000-0002-0000-0300-00000F000000}">
          <x14:formula1>
            <xm:f>'Chemical List (Corn)'!#REF!</xm:f>
          </x14:formula1>
          <xm:sqref>U67:U70 U74:U77</xm:sqref>
        </x14:dataValidation>
        <x14:dataValidation type="list" allowBlank="1" showInputMessage="1" showErrorMessage="1" xr:uid="{F3C5261E-5701-4F43-BC3F-2B70D52C3724}">
          <x14:formula1>
            <xm:f>'Chemical List (Soys)'!$A$4:$A$58</xm:f>
          </x14:formula1>
          <xm:sqref>K6:K11</xm:sqref>
        </x14:dataValidation>
        <x14:dataValidation type="list" allowBlank="1" showInputMessage="1" showErrorMessage="1" xr:uid="{D89BAEBB-BFC1-48FF-8C58-29977D010628}">
          <x14:formula1>
            <xm:f>'Chemical List (Soys)'!$A$140:$A$218</xm:f>
          </x14:formula1>
          <xm:sqref>K66:K70</xm:sqref>
        </x14:dataValidation>
        <x14:dataValidation type="list" allowBlank="1" showInputMessage="1" showErrorMessage="1" xr:uid="{00000000-0002-0000-0300-00000E000000}">
          <x14:formula1>
            <xm:f>'Chemical List (Corn)'!$A$160:$A$239</xm:f>
          </x14:formula1>
          <xm:sqref>A66:A70</xm:sqref>
        </x14:dataValidation>
        <x14:dataValidation type="list" allowBlank="1" showInputMessage="1" showErrorMessage="1" xr:uid="{3F29879D-9123-4E79-8DBA-E3C943CCFCED}">
          <x14:formula1>
            <xm:f>'Chemical List (Wheat)'!$A$74:$A$109</xm:f>
          </x14:formula1>
          <xm:sqref>U66 U73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L34"/>
  <sheetViews>
    <sheetView zoomScale="80" zoomScaleNormal="80" workbookViewId="0">
      <selection activeCell="H39" sqref="H39"/>
    </sheetView>
  </sheetViews>
  <sheetFormatPr defaultColWidth="9.109375" defaultRowHeight="14.4"/>
  <cols>
    <col min="1" max="1" width="28.88671875" style="6" customWidth="1"/>
    <col min="2" max="2" width="18.88671875" style="6" bestFit="1" customWidth="1"/>
    <col min="3" max="3" width="16.6640625" style="6" bestFit="1" customWidth="1"/>
    <col min="4" max="4" width="11.109375" style="6" bestFit="1" customWidth="1"/>
    <col min="5" max="6" width="9.109375" style="6"/>
    <col min="7" max="7" width="10" style="6" bestFit="1" customWidth="1"/>
    <col min="8" max="8" width="21" style="6" bestFit="1" customWidth="1"/>
    <col min="9" max="9" width="22.109375" style="6" bestFit="1" customWidth="1"/>
    <col min="10" max="10" width="7.33203125" style="6" bestFit="1" customWidth="1"/>
    <col min="11" max="11" width="2" style="6" bestFit="1" customWidth="1"/>
    <col min="12" max="12" width="9.109375" style="6" bestFit="1" customWidth="1"/>
    <col min="13" max="16384" width="9.109375" style="6"/>
  </cols>
  <sheetData>
    <row r="1" spans="1:12" ht="25.8">
      <c r="A1" s="861" t="s">
        <v>261</v>
      </c>
      <c r="B1" s="861"/>
      <c r="C1" s="861"/>
      <c r="D1" s="861"/>
      <c r="E1" s="861"/>
      <c r="F1" s="861"/>
      <c r="G1" s="861"/>
      <c r="H1" s="861"/>
      <c r="I1" s="861"/>
      <c r="J1" s="861"/>
      <c r="K1" s="861"/>
      <c r="L1" s="861"/>
    </row>
    <row r="2" spans="1:12" ht="18">
      <c r="A2" s="141"/>
      <c r="B2" s="141"/>
      <c r="C2" s="141"/>
      <c r="D2" s="141"/>
      <c r="E2" s="141"/>
      <c r="F2" s="141"/>
      <c r="G2" s="141"/>
      <c r="H2" s="141"/>
      <c r="I2" s="141"/>
      <c r="J2" s="141"/>
      <c r="K2" s="141"/>
      <c r="L2" s="141"/>
    </row>
    <row r="3" spans="1:12">
      <c r="A3" s="64" t="s">
        <v>283</v>
      </c>
      <c r="B3" s="77" t="s">
        <v>146</v>
      </c>
      <c r="C3" s="77" t="s">
        <v>146</v>
      </c>
      <c r="D3"/>
      <c r="E3"/>
      <c r="F3"/>
      <c r="G3" s="64" t="s">
        <v>24</v>
      </c>
      <c r="H3"/>
      <c r="I3"/>
      <c r="J3"/>
      <c r="K3"/>
      <c r="L3"/>
    </row>
    <row r="4" spans="1:12">
      <c r="A4" s="64"/>
      <c r="B4" s="4" t="s">
        <v>262</v>
      </c>
      <c r="C4" s="4" t="s">
        <v>263</v>
      </c>
      <c r="D4" s="5" t="s">
        <v>264</v>
      </c>
      <c r="E4"/>
      <c r="F4"/>
      <c r="G4">
        <v>128</v>
      </c>
      <c r="H4" t="s">
        <v>265</v>
      </c>
      <c r="I4"/>
      <c r="J4"/>
      <c r="K4"/>
      <c r="L4"/>
    </row>
    <row r="5" spans="1:12">
      <c r="A5" s="64"/>
      <c r="B5" s="389">
        <v>20</v>
      </c>
      <c r="C5" s="389">
        <v>100</v>
      </c>
      <c r="D5" s="79">
        <f>C5/B5</f>
        <v>5</v>
      </c>
      <c r="E5"/>
      <c r="F5"/>
      <c r="G5">
        <v>4</v>
      </c>
      <c r="H5" t="s">
        <v>31</v>
      </c>
      <c r="I5"/>
      <c r="J5"/>
      <c r="K5"/>
      <c r="L5"/>
    </row>
    <row r="6" spans="1:12">
      <c r="A6" s="64"/>
      <c r="B6" s="4"/>
      <c r="C6" s="4"/>
      <c r="D6" s="4"/>
      <c r="E6"/>
      <c r="F6"/>
      <c r="G6">
        <v>8</v>
      </c>
      <c r="H6" t="s">
        <v>266</v>
      </c>
      <c r="I6"/>
      <c r="J6"/>
      <c r="K6"/>
      <c r="L6"/>
    </row>
    <row r="7" spans="1:12">
      <c r="A7" s="64"/>
      <c r="B7" s="4" t="s">
        <v>267</v>
      </c>
      <c r="C7" s="4" t="s">
        <v>268</v>
      </c>
      <c r="D7" s="78" t="s">
        <v>269</v>
      </c>
      <c r="E7"/>
      <c r="F7"/>
      <c r="G7"/>
      <c r="H7"/>
      <c r="I7"/>
      <c r="J7"/>
      <c r="K7"/>
      <c r="L7"/>
    </row>
    <row r="8" spans="1:12">
      <c r="A8" s="64"/>
      <c r="B8" s="389">
        <v>8.5</v>
      </c>
      <c r="C8" s="79">
        <f>D5</f>
        <v>5</v>
      </c>
      <c r="D8" s="80">
        <f>B8/C8</f>
        <v>1.7</v>
      </c>
      <c r="E8"/>
      <c r="F8"/>
      <c r="G8" s="64" t="s">
        <v>270</v>
      </c>
      <c r="H8"/>
      <c r="I8"/>
      <c r="J8"/>
      <c r="K8"/>
      <c r="L8"/>
    </row>
    <row r="9" spans="1:12">
      <c r="A9" s="64"/>
      <c r="B9"/>
      <c r="C9" s="3"/>
      <c r="D9" s="81"/>
      <c r="E9"/>
      <c r="F9"/>
      <c r="G9">
        <v>16</v>
      </c>
      <c r="H9" t="s">
        <v>265</v>
      </c>
      <c r="I9"/>
      <c r="J9"/>
      <c r="K9"/>
      <c r="L9"/>
    </row>
    <row r="10" spans="1:12">
      <c r="A10" s="64" t="s">
        <v>282</v>
      </c>
      <c r="B10" s="77" t="s">
        <v>146</v>
      </c>
      <c r="C10" s="77" t="s">
        <v>146</v>
      </c>
      <c r="D10"/>
      <c r="E10"/>
      <c r="F10"/>
      <c r="G10"/>
      <c r="H10"/>
      <c r="I10"/>
      <c r="J10"/>
      <c r="K10"/>
      <c r="L10"/>
    </row>
    <row r="11" spans="1:12">
      <c r="A11" s="64"/>
      <c r="B11" s="4" t="s">
        <v>262</v>
      </c>
      <c r="C11" s="4" t="s">
        <v>263</v>
      </c>
      <c r="D11" s="5" t="s">
        <v>264</v>
      </c>
      <c r="E11"/>
      <c r="F11"/>
      <c r="G11"/>
      <c r="H11"/>
      <c r="I11"/>
      <c r="J11"/>
      <c r="K11"/>
      <c r="L11"/>
    </row>
    <row r="12" spans="1:12" ht="17.399999999999999">
      <c r="A12" s="64"/>
      <c r="B12" s="389">
        <v>15</v>
      </c>
      <c r="C12" s="389">
        <v>100</v>
      </c>
      <c r="D12" s="79">
        <f>C12/B12</f>
        <v>6.666666666666667</v>
      </c>
      <c r="E12"/>
      <c r="F12"/>
      <c r="G12" s="82" t="s">
        <v>271</v>
      </c>
      <c r="H12" t="s">
        <v>272</v>
      </c>
      <c r="I12" t="s">
        <v>273</v>
      </c>
      <c r="J12" t="s">
        <v>274</v>
      </c>
      <c r="K12"/>
      <c r="L12"/>
    </row>
    <row r="13" spans="1:12">
      <c r="A13" s="64"/>
      <c r="B13" s="4"/>
      <c r="C13" s="4"/>
      <c r="D13" s="4"/>
      <c r="E13"/>
      <c r="F13"/>
      <c r="G13">
        <v>0.125</v>
      </c>
      <c r="H13" s="4">
        <v>100</v>
      </c>
      <c r="I13" s="4">
        <v>1.25E-3</v>
      </c>
      <c r="J13">
        <v>0.125</v>
      </c>
      <c r="K13" s="4" t="s">
        <v>275</v>
      </c>
      <c r="L13" t="s">
        <v>276</v>
      </c>
    </row>
    <row r="14" spans="1:12">
      <c r="A14" s="64"/>
      <c r="B14" s="4" t="s">
        <v>277</v>
      </c>
      <c r="C14" s="4" t="s">
        <v>268</v>
      </c>
      <c r="D14" s="78" t="s">
        <v>269</v>
      </c>
      <c r="E14"/>
      <c r="F14"/>
      <c r="G14">
        <v>0.25</v>
      </c>
      <c r="H14" s="4">
        <v>100</v>
      </c>
      <c r="I14" s="4">
        <v>2.5000000000000001E-3</v>
      </c>
      <c r="J14">
        <v>0.25</v>
      </c>
      <c r="K14" s="4" t="s">
        <v>275</v>
      </c>
      <c r="L14" t="s">
        <v>278</v>
      </c>
    </row>
    <row r="15" spans="1:12">
      <c r="A15" s="64"/>
      <c r="B15" s="390">
        <v>16</v>
      </c>
      <c r="C15" s="79">
        <f>D12</f>
        <v>6.666666666666667</v>
      </c>
      <c r="D15" s="80">
        <f>B15/C15</f>
        <v>2.4</v>
      </c>
      <c r="E15"/>
      <c r="F15"/>
      <c r="G15">
        <v>0.5</v>
      </c>
      <c r="H15" s="4">
        <v>100</v>
      </c>
      <c r="I15" s="4">
        <v>5.0000000000000001E-3</v>
      </c>
      <c r="J15">
        <v>0.5</v>
      </c>
      <c r="K15" s="4" t="s">
        <v>275</v>
      </c>
      <c r="L15" t="s">
        <v>279</v>
      </c>
    </row>
    <row r="16" spans="1:12">
      <c r="A16"/>
      <c r="B16"/>
      <c r="C16"/>
      <c r="D16"/>
      <c r="E16"/>
      <c r="F16"/>
      <c r="G16">
        <v>1</v>
      </c>
      <c r="H16" s="4">
        <v>100</v>
      </c>
      <c r="I16" s="4">
        <v>0.01</v>
      </c>
      <c r="J16">
        <v>1</v>
      </c>
      <c r="K16" s="4" t="s">
        <v>275</v>
      </c>
      <c r="L16" t="s">
        <v>280</v>
      </c>
    </row>
    <row r="17" spans="1:12">
      <c r="A17" s="64" t="s">
        <v>284</v>
      </c>
      <c r="B17" s="77" t="s">
        <v>146</v>
      </c>
      <c r="C17" s="77" t="s">
        <v>146</v>
      </c>
      <c r="D17"/>
      <c r="E17"/>
      <c r="F17"/>
      <c r="G17"/>
      <c r="H17"/>
      <c r="I17"/>
      <c r="J17"/>
      <c r="K17"/>
      <c r="L17"/>
    </row>
    <row r="18" spans="1:12">
      <c r="A18" t="s">
        <v>285</v>
      </c>
      <c r="B18" t="s">
        <v>262</v>
      </c>
      <c r="C18" t="s">
        <v>263</v>
      </c>
      <c r="D18" s="5" t="s">
        <v>264</v>
      </c>
      <c r="E18"/>
      <c r="F18"/>
      <c r="G18"/>
      <c r="H18"/>
      <c r="I18"/>
      <c r="J18"/>
      <c r="K18"/>
      <c r="L18"/>
    </row>
    <row r="19" spans="1:12">
      <c r="A19"/>
      <c r="B19" s="389">
        <v>20</v>
      </c>
      <c r="C19" s="389">
        <v>100</v>
      </c>
      <c r="D19" s="79">
        <f>C19/B19</f>
        <v>5</v>
      </c>
      <c r="E19"/>
      <c r="F19"/>
      <c r="G19"/>
      <c r="H19"/>
      <c r="I19"/>
      <c r="J19"/>
      <c r="K19"/>
      <c r="L19"/>
    </row>
    <row r="20" spans="1:12">
      <c r="A20"/>
      <c r="B20" s="4"/>
      <c r="C20" s="4"/>
      <c r="D20" s="4"/>
      <c r="E20"/>
      <c r="F20"/>
      <c r="G20"/>
      <c r="H20"/>
      <c r="I20"/>
      <c r="J20"/>
      <c r="K20"/>
      <c r="L20"/>
    </row>
    <row r="21" spans="1:12">
      <c r="A21"/>
      <c r="B21" s="4" t="s">
        <v>281</v>
      </c>
      <c r="C21" s="4" t="s">
        <v>268</v>
      </c>
      <c r="D21" s="78" t="s">
        <v>269</v>
      </c>
      <c r="E21"/>
      <c r="F21"/>
      <c r="G21"/>
      <c r="H21"/>
      <c r="I21"/>
      <c r="J21"/>
      <c r="K21"/>
      <c r="L21"/>
    </row>
    <row r="22" spans="1:12">
      <c r="A22"/>
      <c r="B22" s="389">
        <v>2</v>
      </c>
      <c r="C22" s="79">
        <f>D19</f>
        <v>5</v>
      </c>
      <c r="D22" s="80">
        <f>B22/C22</f>
        <v>0.4</v>
      </c>
      <c r="E22"/>
      <c r="F22"/>
      <c r="G22"/>
      <c r="H22"/>
      <c r="I22"/>
      <c r="J22"/>
      <c r="K22"/>
      <c r="L22"/>
    </row>
    <row r="23" spans="1:12">
      <c r="A23"/>
      <c r="B23"/>
      <c r="C23"/>
      <c r="D23"/>
      <c r="E23"/>
      <c r="F23"/>
      <c r="G23"/>
      <c r="H23"/>
      <c r="I23"/>
      <c r="J23"/>
      <c r="K23"/>
      <c r="L23"/>
    </row>
    <row r="24" spans="1:12">
      <c r="A24"/>
      <c r="B24"/>
      <c r="C24"/>
      <c r="D24"/>
      <c r="E24"/>
      <c r="F24"/>
      <c r="G24"/>
      <c r="H24"/>
      <c r="I24"/>
      <c r="J24"/>
      <c r="K24"/>
      <c r="L24"/>
    </row>
    <row r="25" spans="1:12">
      <c r="A25"/>
      <c r="B25"/>
      <c r="C25"/>
      <c r="D25"/>
      <c r="E25"/>
      <c r="F25"/>
      <c r="G25"/>
      <c r="H25"/>
      <c r="I25"/>
      <c r="J25"/>
      <c r="K25"/>
      <c r="L25"/>
    </row>
    <row r="26" spans="1:12" ht="21">
      <c r="A26" s="909" t="s">
        <v>410</v>
      </c>
      <c r="B26" s="909"/>
      <c r="C26" s="909"/>
      <c r="D26" s="909"/>
      <c r="E26" s="909"/>
      <c r="F26" s="909"/>
      <c r="G26" s="909"/>
      <c r="H26" s="909"/>
      <c r="I26" s="909"/>
      <c r="J26" s="909"/>
      <c r="K26" s="909"/>
      <c r="L26" s="909"/>
    </row>
    <row r="27" spans="1:12">
      <c r="A27"/>
      <c r="B27"/>
      <c r="C27"/>
      <c r="D27"/>
      <c r="E27"/>
      <c r="F27"/>
      <c r="G27"/>
      <c r="H27"/>
      <c r="I27"/>
      <c r="J27"/>
      <c r="K27"/>
      <c r="L27"/>
    </row>
    <row r="28" spans="1:12">
      <c r="A28"/>
      <c r="B28"/>
      <c r="C28"/>
      <c r="D28"/>
      <c r="E28"/>
      <c r="F28"/>
      <c r="G28"/>
      <c r="H28"/>
      <c r="I28"/>
      <c r="J28"/>
      <c r="K28"/>
      <c r="L28"/>
    </row>
    <row r="29" spans="1:12">
      <c r="A29"/>
      <c r="B29"/>
      <c r="C29"/>
      <c r="D29"/>
      <c r="E29"/>
      <c r="F29"/>
      <c r="G29"/>
      <c r="H29"/>
      <c r="I29"/>
      <c r="J29"/>
      <c r="K29"/>
      <c r="L29"/>
    </row>
    <row r="30" spans="1:12" ht="15.6">
      <c r="A30" s="132" t="s">
        <v>501</v>
      </c>
      <c r="B30"/>
      <c r="C30"/>
      <c r="E30"/>
      <c r="F30"/>
      <c r="G30"/>
      <c r="H30"/>
      <c r="I30"/>
      <c r="J30"/>
      <c r="K30"/>
      <c r="L30"/>
    </row>
    <row r="31" spans="1:12">
      <c r="A31" t="s">
        <v>500</v>
      </c>
      <c r="B31"/>
      <c r="C31"/>
      <c r="E31" s="910" t="s">
        <v>478</v>
      </c>
      <c r="F31" s="910"/>
      <c r="G31" s="910"/>
      <c r="H31" s="910"/>
      <c r="I31"/>
      <c r="J31"/>
      <c r="K31"/>
      <c r="L31"/>
    </row>
    <row r="32" spans="1:12">
      <c r="A32" s="6" t="s">
        <v>1019</v>
      </c>
      <c r="E32" s="911" t="s">
        <v>1017</v>
      </c>
      <c r="F32" s="911"/>
      <c r="G32" s="911"/>
      <c r="H32" s="911"/>
    </row>
    <row r="33" spans="1:8">
      <c r="A33" s="6" t="s">
        <v>1020</v>
      </c>
      <c r="E33" s="911" t="s">
        <v>1018</v>
      </c>
      <c r="F33" s="911"/>
      <c r="G33" s="911"/>
      <c r="H33" s="911"/>
    </row>
    <row r="34" spans="1:8">
      <c r="A34" s="6" t="s">
        <v>1021</v>
      </c>
      <c r="E34" s="797" t="s">
        <v>1022</v>
      </c>
    </row>
  </sheetData>
  <sheetProtection sheet="1" objects="1" scenarios="1"/>
  <mergeCells count="5">
    <mergeCell ref="A26:L26"/>
    <mergeCell ref="A1:L1"/>
    <mergeCell ref="E31:H31"/>
    <mergeCell ref="E32:H32"/>
    <mergeCell ref="E33:H33"/>
  </mergeCells>
  <hyperlinks>
    <hyperlink ref="E31" r:id="rId1" xr:uid="{00000000-0004-0000-0500-000000000000}"/>
    <hyperlink ref="E32" r:id="rId2" display="E-1582 (Corn Section)" xr:uid="{00000000-0004-0000-0500-000001000000}"/>
    <hyperlink ref="E33" r:id="rId3" display="http://msuent.com/assets/pdf/1582SoybeanInsects10.pdf" xr:uid="{00000000-0004-0000-0500-000002000000}"/>
    <hyperlink ref="E31:H31" r:id="rId4" display="Link to MSU Weed Control Guide" xr:uid="{B459EE45-FBED-462C-AC98-ED785225373C}"/>
    <hyperlink ref="E32:H32" r:id="rId5" display="Link to MSU OSU Insect Guide for Corn" xr:uid="{EA3BF8B2-1845-4900-B7F1-E57BA40E1BC4}"/>
    <hyperlink ref="E33:H33" r:id="rId6" display="Link to MSU OSU Insect Guide for Soybeans" xr:uid="{BD66CBF4-FF71-4080-9B9B-85FBE267CD18}"/>
    <hyperlink ref="E34" r:id="rId7" xr:uid="{E5743FB9-B278-45BA-8D7F-F3299B271856}"/>
  </hyperlinks>
  <printOptions horizontalCentered="1"/>
  <pageMargins left="0.7" right="0.7" top="0.75" bottom="0.75" header="0.3" footer="0.3"/>
  <pageSetup scale="62" orientation="landscape" verticalDpi="0"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EDD6D-456A-4BFD-9C1C-10D27B34E02D}">
  <sheetPr codeName="Sheet5"/>
  <dimension ref="A1:D24"/>
  <sheetViews>
    <sheetView zoomScale="80" zoomScaleNormal="80" workbookViewId="0">
      <selection sqref="A1:XFD1048576"/>
    </sheetView>
  </sheetViews>
  <sheetFormatPr defaultColWidth="8.88671875" defaultRowHeight="18"/>
  <cols>
    <col min="1" max="16384" width="8.88671875" style="169"/>
  </cols>
  <sheetData>
    <row r="1" spans="1:3">
      <c r="A1" s="169">
        <v>9</v>
      </c>
      <c r="B1" s="169">
        <v>50</v>
      </c>
      <c r="C1" s="169" t="s">
        <v>679</v>
      </c>
    </row>
    <row r="2" spans="1:3">
      <c r="A2" s="169">
        <v>9</v>
      </c>
      <c r="B2" s="169">
        <v>100</v>
      </c>
      <c r="C2" s="169" t="s">
        <v>680</v>
      </c>
    </row>
    <row r="3" spans="1:3">
      <c r="A3" s="169">
        <v>9</v>
      </c>
      <c r="B3" s="169">
        <v>150</v>
      </c>
      <c r="C3" s="169" t="s">
        <v>681</v>
      </c>
    </row>
    <row r="4" spans="1:3">
      <c r="A4" s="169">
        <v>9</v>
      </c>
      <c r="B4" s="169">
        <v>235</v>
      </c>
    </row>
    <row r="5" spans="1:3">
      <c r="A5" s="169">
        <v>9</v>
      </c>
      <c r="B5" s="169">
        <v>260</v>
      </c>
    </row>
    <row r="6" spans="1:3">
      <c r="A6" s="169">
        <v>9</v>
      </c>
      <c r="B6" s="169">
        <v>280</v>
      </c>
    </row>
    <row r="7" spans="1:3">
      <c r="A7" s="169">
        <v>19</v>
      </c>
      <c r="B7" s="169">
        <v>50</v>
      </c>
      <c r="C7" s="169" t="s">
        <v>682</v>
      </c>
    </row>
    <row r="8" spans="1:3">
      <c r="A8" s="169">
        <v>19</v>
      </c>
      <c r="B8" s="169">
        <v>100</v>
      </c>
      <c r="C8" s="169" t="s">
        <v>683</v>
      </c>
    </row>
    <row r="9" spans="1:3">
      <c r="A9" s="169">
        <v>19</v>
      </c>
      <c r="B9" s="169">
        <v>150</v>
      </c>
      <c r="C9" s="169" t="s">
        <v>684</v>
      </c>
    </row>
    <row r="10" spans="1:3">
      <c r="A10" s="169">
        <v>19</v>
      </c>
      <c r="B10" s="169">
        <v>250</v>
      </c>
      <c r="C10" s="169" t="s">
        <v>688</v>
      </c>
    </row>
    <row r="11" spans="1:3">
      <c r="A11" s="169">
        <v>19</v>
      </c>
      <c r="B11" s="169">
        <v>280</v>
      </c>
    </row>
    <row r="12" spans="1:3">
      <c r="A12" s="169">
        <v>19</v>
      </c>
      <c r="B12" s="169">
        <v>300</v>
      </c>
    </row>
    <row r="13" spans="1:3">
      <c r="A13" s="169">
        <v>29</v>
      </c>
      <c r="B13" s="169">
        <v>100</v>
      </c>
      <c r="C13" s="169" t="s">
        <v>685</v>
      </c>
    </row>
    <row r="14" spans="1:3">
      <c r="A14" s="169">
        <v>29</v>
      </c>
      <c r="B14" s="169">
        <v>150</v>
      </c>
      <c r="C14" s="169" t="s">
        <v>686</v>
      </c>
    </row>
    <row r="15" spans="1:3">
      <c r="A15" s="169">
        <v>29</v>
      </c>
      <c r="B15" s="169">
        <v>250</v>
      </c>
      <c r="C15" s="169" t="s">
        <v>689</v>
      </c>
    </row>
    <row r="16" spans="1:3">
      <c r="A16" s="169">
        <v>29</v>
      </c>
      <c r="B16" s="169">
        <v>310</v>
      </c>
    </row>
    <row r="17" spans="1:4">
      <c r="A17" s="169">
        <v>29</v>
      </c>
      <c r="B17" s="169">
        <v>330</v>
      </c>
    </row>
    <row r="18" spans="1:4">
      <c r="A18" s="169">
        <v>29</v>
      </c>
      <c r="B18" s="169">
        <v>350</v>
      </c>
      <c r="D18" s="169" t="s">
        <v>687</v>
      </c>
    </row>
    <row r="19" spans="1:4">
      <c r="A19" s="169">
        <v>30</v>
      </c>
      <c r="B19" s="169">
        <v>150</v>
      </c>
    </row>
    <row r="20" spans="1:4">
      <c r="A20" s="169">
        <v>30</v>
      </c>
      <c r="B20" s="169">
        <v>200</v>
      </c>
    </row>
    <row r="21" spans="1:4">
      <c r="A21" s="169">
        <v>30</v>
      </c>
      <c r="B21" s="169">
        <v>250</v>
      </c>
    </row>
    <row r="22" spans="1:4">
      <c r="A22" s="169">
        <v>30</v>
      </c>
      <c r="B22" s="169">
        <v>360</v>
      </c>
    </row>
    <row r="23" spans="1:4">
      <c r="A23" s="169">
        <v>30</v>
      </c>
      <c r="B23" s="169">
        <v>380</v>
      </c>
    </row>
    <row r="24" spans="1:4">
      <c r="A24" s="169">
        <v>30</v>
      </c>
      <c r="B24" s="169">
        <v>400</v>
      </c>
    </row>
  </sheetData>
  <phoneticPr fontId="6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6306B-D49A-4320-BFBC-7268225E31D0}">
  <sheetPr codeName="Sheet7"/>
  <dimension ref="A1:D24"/>
  <sheetViews>
    <sheetView zoomScale="80" zoomScaleNormal="80" workbookViewId="0">
      <selection activeCell="D18" sqref="D18"/>
    </sheetView>
  </sheetViews>
  <sheetFormatPr defaultColWidth="8.88671875" defaultRowHeight="18"/>
  <cols>
    <col min="1" max="16384" width="8.88671875" style="169"/>
  </cols>
  <sheetData>
    <row r="1" spans="1:3">
      <c r="A1" s="169">
        <v>9</v>
      </c>
      <c r="B1" s="169">
        <v>50</v>
      </c>
      <c r="C1" s="169" t="s">
        <v>690</v>
      </c>
    </row>
    <row r="2" spans="1:3">
      <c r="A2" s="169">
        <v>9</v>
      </c>
      <c r="B2" s="169">
        <v>100</v>
      </c>
      <c r="C2" s="169" t="s">
        <v>691</v>
      </c>
    </row>
    <row r="3" spans="1:3">
      <c r="A3" s="169">
        <v>9</v>
      </c>
      <c r="B3" s="169">
        <v>150</v>
      </c>
      <c r="C3" s="169" t="s">
        <v>692</v>
      </c>
    </row>
    <row r="4" spans="1:3">
      <c r="A4" s="169">
        <v>9</v>
      </c>
      <c r="B4" s="169">
        <v>235</v>
      </c>
    </row>
    <row r="5" spans="1:3">
      <c r="A5" s="169">
        <v>9</v>
      </c>
      <c r="B5" s="169">
        <v>260</v>
      </c>
    </row>
    <row r="6" spans="1:3">
      <c r="A6" s="169">
        <v>9</v>
      </c>
      <c r="B6" s="169">
        <v>280</v>
      </c>
    </row>
    <row r="7" spans="1:3">
      <c r="A7" s="169">
        <v>19</v>
      </c>
      <c r="B7" s="169">
        <v>50</v>
      </c>
      <c r="C7" s="169" t="s">
        <v>693</v>
      </c>
    </row>
    <row r="8" spans="1:3">
      <c r="A8" s="169">
        <v>19</v>
      </c>
      <c r="B8" s="169">
        <v>100</v>
      </c>
      <c r="C8" s="169" t="s">
        <v>694</v>
      </c>
    </row>
    <row r="9" spans="1:3">
      <c r="A9" s="169">
        <v>19</v>
      </c>
      <c r="B9" s="169">
        <v>150</v>
      </c>
      <c r="C9" s="169" t="s">
        <v>695</v>
      </c>
    </row>
    <row r="10" spans="1:3">
      <c r="A10" s="169">
        <v>19</v>
      </c>
      <c r="B10" s="169">
        <v>250</v>
      </c>
      <c r="C10" s="169" t="s">
        <v>696</v>
      </c>
    </row>
    <row r="11" spans="1:3">
      <c r="A11" s="169">
        <v>19</v>
      </c>
      <c r="B11" s="169">
        <v>280</v>
      </c>
    </row>
    <row r="12" spans="1:3">
      <c r="A12" s="169">
        <v>19</v>
      </c>
      <c r="B12" s="169">
        <v>300</v>
      </c>
    </row>
    <row r="13" spans="1:3">
      <c r="A13" s="169">
        <v>29</v>
      </c>
      <c r="B13" s="169">
        <v>100</v>
      </c>
      <c r="C13" s="169" t="s">
        <v>697</v>
      </c>
    </row>
    <row r="14" spans="1:3">
      <c r="A14" s="169">
        <v>29</v>
      </c>
      <c r="B14" s="169">
        <v>150</v>
      </c>
      <c r="C14" s="169" t="s">
        <v>698</v>
      </c>
    </row>
    <row r="15" spans="1:3">
      <c r="A15" s="169">
        <v>29</v>
      </c>
      <c r="B15" s="169">
        <v>250</v>
      </c>
      <c r="C15" s="169" t="s">
        <v>699</v>
      </c>
    </row>
    <row r="16" spans="1:3">
      <c r="A16" s="169">
        <v>29</v>
      </c>
      <c r="B16" s="169">
        <v>310</v>
      </c>
    </row>
    <row r="17" spans="1:4">
      <c r="A17" s="169">
        <v>29</v>
      </c>
      <c r="B17" s="169">
        <v>330</v>
      </c>
    </row>
    <row r="18" spans="1:4">
      <c r="A18" s="169">
        <v>29</v>
      </c>
      <c r="B18" s="169">
        <v>350</v>
      </c>
      <c r="D18" s="169" t="s">
        <v>700</v>
      </c>
    </row>
    <row r="19" spans="1:4">
      <c r="A19" s="169">
        <v>30</v>
      </c>
      <c r="B19" s="169">
        <v>150</v>
      </c>
    </row>
    <row r="20" spans="1:4">
      <c r="A20" s="169">
        <v>30</v>
      </c>
      <c r="B20" s="169">
        <v>200</v>
      </c>
    </row>
    <row r="21" spans="1:4">
      <c r="A21" s="169">
        <v>30</v>
      </c>
      <c r="B21" s="169">
        <v>250</v>
      </c>
    </row>
    <row r="22" spans="1:4">
      <c r="A22" s="169">
        <v>30</v>
      </c>
      <c r="B22" s="169">
        <v>360</v>
      </c>
    </row>
    <row r="23" spans="1:4">
      <c r="A23" s="169">
        <v>30</v>
      </c>
      <c r="B23" s="169">
        <v>380</v>
      </c>
    </row>
    <row r="24" spans="1:4">
      <c r="A24" s="169">
        <v>30</v>
      </c>
      <c r="B24" s="169">
        <v>400</v>
      </c>
    </row>
  </sheetData>
  <phoneticPr fontId="6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B58FE-D99B-4669-9817-517CE45B56CA}">
  <sheetPr codeName="Sheet8"/>
  <dimension ref="A1:D24"/>
  <sheetViews>
    <sheetView topLeftCell="A16" zoomScale="80" zoomScaleNormal="80" workbookViewId="0">
      <selection activeCell="D18" sqref="D18"/>
    </sheetView>
  </sheetViews>
  <sheetFormatPr defaultColWidth="8.88671875" defaultRowHeight="18"/>
  <cols>
    <col min="1" max="16384" width="8.88671875" style="169"/>
  </cols>
  <sheetData>
    <row r="1" spans="1:3">
      <c r="A1" s="169">
        <v>9</v>
      </c>
      <c r="B1" s="169">
        <v>50</v>
      </c>
      <c r="C1" s="169" t="s">
        <v>702</v>
      </c>
    </row>
    <row r="2" spans="1:3">
      <c r="A2" s="169">
        <v>9</v>
      </c>
      <c r="B2" s="169">
        <v>100</v>
      </c>
      <c r="C2" s="169" t="s">
        <v>703</v>
      </c>
    </row>
    <row r="3" spans="1:3">
      <c r="A3" s="169">
        <v>9</v>
      </c>
      <c r="B3" s="169">
        <v>150</v>
      </c>
      <c r="C3" s="169" t="s">
        <v>704</v>
      </c>
    </row>
    <row r="4" spans="1:3">
      <c r="A4" s="169">
        <v>9</v>
      </c>
      <c r="B4" s="169">
        <v>235</v>
      </c>
    </row>
    <row r="5" spans="1:3">
      <c r="A5" s="169">
        <v>9</v>
      </c>
      <c r="B5" s="169">
        <v>260</v>
      </c>
    </row>
    <row r="6" spans="1:3">
      <c r="A6" s="169">
        <v>9</v>
      </c>
      <c r="B6" s="169">
        <v>280</v>
      </c>
    </row>
    <row r="7" spans="1:3">
      <c r="A7" s="169">
        <v>19</v>
      </c>
      <c r="B7" s="169">
        <v>50</v>
      </c>
      <c r="C7" s="169" t="s">
        <v>705</v>
      </c>
    </row>
    <row r="8" spans="1:3">
      <c r="A8" s="169">
        <v>19</v>
      </c>
      <c r="B8" s="169">
        <v>100</v>
      </c>
      <c r="C8" s="169" t="s">
        <v>706</v>
      </c>
    </row>
    <row r="9" spans="1:3">
      <c r="A9" s="169">
        <v>19</v>
      </c>
      <c r="B9" s="169">
        <v>150</v>
      </c>
      <c r="C9" s="169" t="s">
        <v>711</v>
      </c>
    </row>
    <row r="10" spans="1:3">
      <c r="A10" s="169">
        <v>19</v>
      </c>
      <c r="B10" s="169">
        <v>200</v>
      </c>
      <c r="C10" s="169" t="s">
        <v>707</v>
      </c>
    </row>
    <row r="11" spans="1:3">
      <c r="A11" s="169">
        <v>19</v>
      </c>
      <c r="B11" s="169">
        <v>280</v>
      </c>
    </row>
    <row r="12" spans="1:3">
      <c r="A12" s="169">
        <v>19</v>
      </c>
      <c r="B12" s="169">
        <v>300</v>
      </c>
    </row>
    <row r="13" spans="1:3">
      <c r="A13" s="169">
        <v>29</v>
      </c>
      <c r="B13" s="169">
        <v>100</v>
      </c>
      <c r="C13" s="169" t="s">
        <v>708</v>
      </c>
    </row>
    <row r="14" spans="1:3">
      <c r="A14" s="169">
        <v>29</v>
      </c>
      <c r="B14" s="169">
        <v>150</v>
      </c>
      <c r="C14" s="169" t="s">
        <v>709</v>
      </c>
    </row>
    <row r="15" spans="1:3">
      <c r="A15" s="169">
        <v>29</v>
      </c>
      <c r="B15" s="169">
        <v>200</v>
      </c>
      <c r="C15" s="169" t="s">
        <v>710</v>
      </c>
    </row>
    <row r="16" spans="1:3">
      <c r="A16" s="169">
        <v>29</v>
      </c>
      <c r="B16" s="169">
        <v>310</v>
      </c>
    </row>
    <row r="17" spans="1:4">
      <c r="A17" s="169">
        <v>29</v>
      </c>
      <c r="B17" s="169">
        <v>330</v>
      </c>
    </row>
    <row r="18" spans="1:4">
      <c r="A18" s="169">
        <v>29</v>
      </c>
      <c r="B18" s="169">
        <v>350</v>
      </c>
      <c r="D18" s="169" t="s">
        <v>712</v>
      </c>
    </row>
    <row r="19" spans="1:4">
      <c r="A19" s="169">
        <v>30</v>
      </c>
      <c r="B19" s="169">
        <v>150</v>
      </c>
    </row>
    <row r="20" spans="1:4">
      <c r="A20" s="169">
        <v>30</v>
      </c>
      <c r="B20" s="169">
        <v>200</v>
      </c>
    </row>
    <row r="21" spans="1:4">
      <c r="A21" s="169">
        <v>30</v>
      </c>
      <c r="B21" s="169">
        <v>250</v>
      </c>
    </row>
    <row r="22" spans="1:4">
      <c r="A22" s="169">
        <v>30</v>
      </c>
      <c r="B22" s="169">
        <v>360</v>
      </c>
    </row>
    <row r="23" spans="1:4">
      <c r="A23" s="169">
        <v>30</v>
      </c>
      <c r="B23" s="169">
        <v>380</v>
      </c>
    </row>
    <row r="24" spans="1:4">
      <c r="A24" s="169">
        <v>30</v>
      </c>
      <c r="B24" s="169">
        <v>400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98132-50FD-40A7-B405-0AFAB0190FF4}">
  <sheetPr codeName="Sheet12">
    <pageSetUpPr fitToPage="1"/>
  </sheetPr>
  <dimension ref="A1:AK219"/>
  <sheetViews>
    <sheetView zoomScale="80" zoomScaleNormal="80" workbookViewId="0">
      <selection activeCell="V13" sqref="V13"/>
    </sheetView>
  </sheetViews>
  <sheetFormatPr defaultColWidth="8.88671875" defaultRowHeight="18"/>
  <cols>
    <col min="1" max="1" width="27.88671875" style="169" customWidth="1"/>
    <col min="2" max="2" width="12.88671875" style="169" bestFit="1" customWidth="1"/>
    <col min="3" max="3" width="13.5546875" style="169" customWidth="1"/>
    <col min="4" max="4" width="12.88671875" style="169" bestFit="1" customWidth="1"/>
    <col min="5" max="5" width="8.88671875" style="169"/>
    <col min="6" max="6" width="12.88671875" style="169" bestFit="1" customWidth="1"/>
    <col min="7" max="7" width="13.33203125" style="169" customWidth="1"/>
    <col min="8" max="8" width="12.88671875" style="169" bestFit="1" customWidth="1"/>
    <col min="9" max="9" width="8.88671875" style="169"/>
    <col min="10" max="10" width="12.88671875" style="169" bestFit="1" customWidth="1"/>
    <col min="11" max="11" width="13.44140625" style="169" customWidth="1"/>
    <col min="12" max="12" width="12.88671875" style="169" bestFit="1" customWidth="1"/>
    <col min="13" max="15" width="8.88671875" style="169"/>
    <col min="16" max="16" width="15" style="169" bestFit="1" customWidth="1"/>
    <col min="17" max="17" width="12.88671875" style="169" bestFit="1" customWidth="1"/>
    <col min="18" max="18" width="12.6640625" style="169" bestFit="1" customWidth="1"/>
    <col min="19" max="19" width="9.44140625" style="169" customWidth="1"/>
    <col min="20" max="20" width="14.109375" style="169" customWidth="1"/>
    <col min="21" max="21" width="6" style="169" bestFit="1" customWidth="1"/>
    <col min="22" max="16384" width="8.88671875" style="169"/>
  </cols>
  <sheetData>
    <row r="1" spans="1:37" ht="18.600000000000001" thickBot="1">
      <c r="A1" s="929"/>
      <c r="B1" s="967" t="s">
        <v>643</v>
      </c>
      <c r="C1" s="968"/>
      <c r="D1" s="968"/>
      <c r="E1" s="969"/>
      <c r="F1" s="968"/>
      <c r="G1" s="968"/>
      <c r="H1" s="968"/>
      <c r="I1" s="969"/>
      <c r="J1" s="968"/>
      <c r="K1" s="968"/>
      <c r="L1" s="970"/>
      <c r="M1" s="646"/>
      <c r="N1" s="646"/>
      <c r="O1" s="646"/>
      <c r="P1" s="696" t="s">
        <v>501</v>
      </c>
      <c r="Q1" s="646"/>
      <c r="R1" s="646"/>
      <c r="S1" s="646"/>
      <c r="T1" s="646"/>
      <c r="U1" s="646"/>
      <c r="V1" s="646"/>
      <c r="W1" s="646"/>
      <c r="X1" s="261"/>
      <c r="Y1" s="646"/>
      <c r="Z1" s="646"/>
      <c r="AA1" s="646"/>
      <c r="AB1" s="646"/>
      <c r="AC1" s="646"/>
      <c r="AD1" s="646"/>
      <c r="AE1" s="646"/>
      <c r="AF1" s="646"/>
      <c r="AG1" s="646"/>
      <c r="AH1" s="646"/>
      <c r="AI1" s="646"/>
      <c r="AJ1" s="646"/>
      <c r="AK1" s="646"/>
    </row>
    <row r="2" spans="1:37">
      <c r="A2" s="929"/>
      <c r="B2" s="971" t="s">
        <v>76</v>
      </c>
      <c r="C2" s="972"/>
      <c r="D2" s="973"/>
      <c r="E2" s="646"/>
      <c r="F2" s="971" t="s">
        <v>130</v>
      </c>
      <c r="G2" s="972"/>
      <c r="H2" s="973"/>
      <c r="I2" s="646"/>
      <c r="J2" s="971" t="s">
        <v>131</v>
      </c>
      <c r="K2" s="972"/>
      <c r="L2" s="973"/>
      <c r="M2" s="646"/>
      <c r="N2" s="646"/>
      <c r="O2" s="646"/>
      <c r="P2" s="646" t="s">
        <v>503</v>
      </c>
      <c r="Q2" s="646"/>
      <c r="R2" s="646"/>
      <c r="S2" s="646"/>
      <c r="T2" s="646"/>
      <c r="U2" s="646"/>
      <c r="V2" s="646"/>
      <c r="W2" s="646"/>
      <c r="X2" s="261"/>
      <c r="Y2" s="646"/>
      <c r="Z2" s="646"/>
      <c r="AA2" s="646"/>
      <c r="AB2" s="646"/>
      <c r="AC2" s="646"/>
      <c r="AD2" s="646"/>
      <c r="AE2" s="646"/>
      <c r="AF2" s="646"/>
      <c r="AG2" s="646"/>
      <c r="AH2" s="646"/>
      <c r="AI2" s="646"/>
      <c r="AJ2" s="646"/>
      <c r="AK2" s="646"/>
    </row>
    <row r="3" spans="1:37">
      <c r="A3" s="930"/>
      <c r="B3" s="655"/>
      <c r="C3" s="654"/>
      <c r="D3" s="653"/>
      <c r="E3" s="654"/>
      <c r="F3" s="655"/>
      <c r="G3" s="654"/>
      <c r="H3" s="653"/>
      <c r="I3" s="654"/>
      <c r="J3" s="655"/>
      <c r="K3" s="654"/>
      <c r="L3" s="653"/>
      <c r="M3" s="646"/>
      <c r="N3" s="646"/>
      <c r="O3" s="646"/>
      <c r="P3" s="953" t="s">
        <v>1023</v>
      </c>
      <c r="Q3" s="953"/>
      <c r="R3" s="953"/>
      <c r="S3" s="953"/>
      <c r="T3" s="953"/>
      <c r="U3" s="953"/>
      <c r="V3" s="953"/>
      <c r="W3" s="953"/>
      <c r="X3" s="953"/>
      <c r="Y3" s="953"/>
      <c r="Z3" s="953"/>
      <c r="AA3" s="646"/>
      <c r="AB3" s="646"/>
      <c r="AC3" s="646"/>
      <c r="AD3" s="646"/>
      <c r="AE3" s="646"/>
      <c r="AF3" s="646"/>
      <c r="AG3" s="646"/>
      <c r="AH3" s="646"/>
      <c r="AI3" s="646"/>
      <c r="AJ3" s="646"/>
      <c r="AK3" s="646"/>
    </row>
    <row r="4" spans="1:37">
      <c r="A4" s="714" t="s">
        <v>814</v>
      </c>
      <c r="B4" s="954" t="s">
        <v>813</v>
      </c>
      <c r="C4" s="955"/>
      <c r="D4" s="955"/>
      <c r="E4" s="955"/>
      <c r="F4" s="955"/>
      <c r="G4" s="955"/>
      <c r="H4" s="955"/>
      <c r="I4" s="955"/>
      <c r="J4" s="955"/>
      <c r="K4" s="955"/>
      <c r="L4" s="956"/>
      <c r="M4" s="646"/>
      <c r="N4" s="646"/>
      <c r="O4" s="646"/>
      <c r="P4" s="695" t="s">
        <v>678</v>
      </c>
      <c r="Q4" s="710"/>
      <c r="R4" s="710"/>
      <c r="S4" s="710"/>
      <c r="T4" s="710"/>
      <c r="U4" s="710"/>
      <c r="V4" s="710"/>
      <c r="W4" s="710"/>
      <c r="X4" s="713"/>
      <c r="Y4" s="646"/>
      <c r="Z4" s="646"/>
      <c r="AA4" s="646"/>
      <c r="AB4" s="646"/>
      <c r="AC4" s="646"/>
      <c r="AD4" s="646"/>
      <c r="AE4" s="646"/>
      <c r="AF4" s="646"/>
      <c r="AG4" s="646"/>
      <c r="AH4" s="646"/>
      <c r="AI4" s="646"/>
      <c r="AJ4" s="646"/>
      <c r="AK4" s="646"/>
    </row>
    <row r="5" spans="1:37">
      <c r="A5" s="928"/>
      <c r="B5" s="657"/>
      <c r="C5" s="682"/>
      <c r="D5" s="671"/>
      <c r="E5" s="646"/>
      <c r="F5" s="657"/>
      <c r="G5" s="682"/>
      <c r="H5" s="671"/>
      <c r="I5" s="646"/>
      <c r="J5" s="657"/>
      <c r="K5" s="682"/>
      <c r="L5" s="671"/>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row>
    <row r="6" spans="1:37">
      <c r="A6" s="929"/>
      <c r="B6" s="712"/>
      <c r="C6" s="726">
        <f>'Crop Budget (Main)'!C10</f>
        <v>0</v>
      </c>
      <c r="D6" s="671"/>
      <c r="E6" s="646"/>
      <c r="F6" s="712"/>
      <c r="G6" s="727">
        <f>'Crop Budget (Main)'!G10</f>
        <v>0</v>
      </c>
      <c r="H6" s="671"/>
      <c r="I6" s="646"/>
      <c r="J6" s="712"/>
      <c r="K6" s="727">
        <f>'Crop Budget (Main)'!K10</f>
        <v>0</v>
      </c>
      <c r="L6" s="671"/>
      <c r="M6" s="646"/>
      <c r="N6" s="646"/>
      <c r="O6" s="646"/>
      <c r="P6" s="711" t="s">
        <v>812</v>
      </c>
      <c r="Q6" s="646"/>
      <c r="R6" s="646"/>
      <c r="S6" s="646"/>
      <c r="T6" s="646"/>
      <c r="U6" s="646"/>
      <c r="V6" s="646"/>
      <c r="W6" s="646"/>
      <c r="X6" s="646"/>
      <c r="Y6" s="646"/>
      <c r="Z6" s="646"/>
      <c r="AA6" s="646"/>
      <c r="AB6" s="646"/>
      <c r="AC6" s="646"/>
      <c r="AD6" s="646"/>
      <c r="AE6" s="646"/>
      <c r="AF6" s="646"/>
      <c r="AG6" s="646"/>
      <c r="AH6" s="646"/>
      <c r="AI6" s="646"/>
      <c r="AJ6" s="646"/>
      <c r="AK6" s="646"/>
    </row>
    <row r="7" spans="1:37">
      <c r="A7" s="930"/>
      <c r="B7" s="657"/>
      <c r="C7" s="725" t="s">
        <v>846</v>
      </c>
      <c r="D7" s="671"/>
      <c r="E7" s="646"/>
      <c r="F7" s="657"/>
      <c r="G7" s="725" t="s">
        <v>846</v>
      </c>
      <c r="H7" s="671"/>
      <c r="I7" s="646"/>
      <c r="J7" s="657"/>
      <c r="K7" s="725" t="s">
        <v>846</v>
      </c>
      <c r="L7" s="671"/>
      <c r="M7" s="646"/>
      <c r="N7" s="646"/>
      <c r="O7" s="646"/>
      <c r="P7" s="710" t="s">
        <v>811</v>
      </c>
      <c r="Q7" s="646"/>
      <c r="R7" s="646"/>
      <c r="S7" s="646"/>
      <c r="T7" s="646"/>
      <c r="U7" s="646"/>
      <c r="V7" s="646"/>
      <c r="W7" s="646"/>
      <c r="X7" s="646"/>
      <c r="Y7" s="646"/>
      <c r="Z7" s="646"/>
      <c r="AA7" s="646"/>
      <c r="AB7" s="646"/>
      <c r="AC7" s="646"/>
      <c r="AD7" s="646"/>
      <c r="AE7" s="646"/>
      <c r="AF7" s="646"/>
      <c r="AG7" s="646"/>
      <c r="AH7" s="646"/>
      <c r="AI7" s="646"/>
      <c r="AJ7" s="646"/>
      <c r="AK7" s="646"/>
    </row>
    <row r="8" spans="1:37">
      <c r="A8" s="704" t="s">
        <v>810</v>
      </c>
      <c r="B8" s="957" t="s">
        <v>809</v>
      </c>
      <c r="C8" s="958"/>
      <c r="D8" s="958"/>
      <c r="E8" s="958"/>
      <c r="F8" s="958"/>
      <c r="G8" s="958"/>
      <c r="H8" s="958"/>
      <c r="I8" s="958"/>
      <c r="J8" s="958"/>
      <c r="K8" s="958"/>
      <c r="L8" s="959"/>
      <c r="M8" s="646"/>
      <c r="N8" s="646"/>
      <c r="O8" s="646"/>
      <c r="P8" s="711" t="s">
        <v>808</v>
      </c>
      <c r="Q8" s="646"/>
      <c r="R8" s="646"/>
      <c r="S8" s="646"/>
      <c r="T8" s="646"/>
      <c r="U8" s="646"/>
      <c r="V8" s="646"/>
      <c r="W8" s="646"/>
      <c r="X8" s="646"/>
      <c r="Y8" s="646"/>
      <c r="Z8" s="646"/>
      <c r="AA8" s="646"/>
      <c r="AB8" s="646"/>
      <c r="AC8" s="646"/>
      <c r="AD8" s="646"/>
      <c r="AE8" s="646"/>
      <c r="AF8" s="646"/>
      <c r="AG8" s="646"/>
      <c r="AH8" s="646"/>
      <c r="AI8" s="646"/>
      <c r="AJ8" s="646"/>
      <c r="AK8" s="646"/>
    </row>
    <row r="9" spans="1:37">
      <c r="A9" s="928"/>
      <c r="B9" s="917" t="s">
        <v>807</v>
      </c>
      <c r="C9" s="918"/>
      <c r="D9" s="918"/>
      <c r="E9" s="918"/>
      <c r="F9" s="918"/>
      <c r="G9" s="918"/>
      <c r="H9" s="918"/>
      <c r="I9" s="918"/>
      <c r="J9" s="918"/>
      <c r="K9" s="918"/>
      <c r="L9" s="919"/>
      <c r="M9" s="646"/>
      <c r="N9" s="646"/>
      <c r="O9" s="646"/>
      <c r="P9" s="710" t="s">
        <v>806</v>
      </c>
      <c r="Q9" s="646"/>
      <c r="R9" s="646"/>
      <c r="S9" s="646"/>
      <c r="T9" s="646"/>
      <c r="U9" s="646"/>
      <c r="V9" s="646"/>
      <c r="W9" s="646"/>
      <c r="X9" s="646"/>
      <c r="Y9" s="646"/>
      <c r="Z9" s="646"/>
      <c r="AA9" s="646"/>
      <c r="AB9" s="646"/>
      <c r="AC9" s="646"/>
      <c r="AD9" s="646"/>
      <c r="AE9" s="646"/>
      <c r="AF9" s="646"/>
      <c r="AG9" s="646"/>
      <c r="AH9" s="646"/>
      <c r="AI9" s="646"/>
      <c r="AJ9" s="646"/>
      <c r="AK9" s="646"/>
    </row>
    <row r="10" spans="1:37" ht="18.600000000000001" thickBot="1">
      <c r="A10" s="929"/>
      <c r="B10" s="683" t="s">
        <v>146</v>
      </c>
      <c r="C10" s="682" t="s">
        <v>146</v>
      </c>
      <c r="D10" s="681" t="s">
        <v>146</v>
      </c>
      <c r="E10" s="646"/>
      <c r="F10" s="683" t="s">
        <v>146</v>
      </c>
      <c r="G10" s="682" t="s">
        <v>146</v>
      </c>
      <c r="H10" s="681" t="s">
        <v>146</v>
      </c>
      <c r="I10" s="646"/>
      <c r="J10" s="683" t="s">
        <v>146</v>
      </c>
      <c r="K10" s="682" t="s">
        <v>146</v>
      </c>
      <c r="L10" s="681" t="s">
        <v>146</v>
      </c>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row>
    <row r="11" spans="1:37" ht="18.600000000000001" thickBot="1">
      <c r="A11" s="929"/>
      <c r="B11" s="704" t="s">
        <v>108</v>
      </c>
      <c r="C11" s="704" t="s">
        <v>109</v>
      </c>
      <c r="D11" s="704" t="s">
        <v>110</v>
      </c>
      <c r="E11" s="656"/>
      <c r="F11" s="704" t="s">
        <v>108</v>
      </c>
      <c r="G11" s="704" t="s">
        <v>109</v>
      </c>
      <c r="H11" s="704" t="s">
        <v>110</v>
      </c>
      <c r="I11" s="675"/>
      <c r="J11" s="704" t="s">
        <v>108</v>
      </c>
      <c r="K11" s="704" t="s">
        <v>109</v>
      </c>
      <c r="L11" s="704" t="s">
        <v>110</v>
      </c>
      <c r="M11" s="646"/>
      <c r="N11" s="646"/>
      <c r="O11" s="646"/>
      <c r="P11" s="960" t="s">
        <v>805</v>
      </c>
      <c r="Q11" s="961"/>
      <c r="R11" s="961"/>
      <c r="S11" s="962"/>
      <c r="T11" s="646"/>
      <c r="U11" s="646"/>
      <c r="V11" s="646"/>
      <c r="W11" s="646"/>
      <c r="X11" s="646"/>
      <c r="Y11" s="646"/>
      <c r="Z11" s="646"/>
      <c r="AA11" s="646"/>
      <c r="AB11" s="646"/>
      <c r="AC11" s="646"/>
      <c r="AD11" s="646"/>
      <c r="AE11" s="646"/>
      <c r="AF11" s="646"/>
      <c r="AG11" s="646"/>
      <c r="AH11" s="646"/>
      <c r="AI11" s="646"/>
      <c r="AJ11" s="646"/>
      <c r="AK11" s="646"/>
    </row>
    <row r="12" spans="1:37">
      <c r="A12" s="929"/>
      <c r="B12" s="573">
        <v>0</v>
      </c>
      <c r="C12" s="573">
        <v>0</v>
      </c>
      <c r="D12" s="573">
        <v>0</v>
      </c>
      <c r="E12" s="656"/>
      <c r="F12" s="573">
        <v>0</v>
      </c>
      <c r="G12" s="573">
        <v>0</v>
      </c>
      <c r="H12" s="573">
        <v>0</v>
      </c>
      <c r="I12" s="675"/>
      <c r="J12" s="573">
        <v>0</v>
      </c>
      <c r="K12" s="573">
        <v>0</v>
      </c>
      <c r="L12" s="573">
        <v>0</v>
      </c>
      <c r="M12" s="646"/>
      <c r="N12" s="646"/>
      <c r="O12" s="646"/>
      <c r="P12" s="709" t="s">
        <v>146</v>
      </c>
      <c r="Q12" s="646"/>
      <c r="R12" s="646"/>
      <c r="S12" s="708"/>
      <c r="T12" s="646"/>
      <c r="U12" s="646"/>
      <c r="V12" s="646"/>
      <c r="W12" s="646"/>
      <c r="X12" s="646"/>
      <c r="Y12" s="646"/>
      <c r="Z12" s="646"/>
      <c r="AA12" s="646"/>
      <c r="AB12" s="646"/>
      <c r="AC12" s="646"/>
      <c r="AD12" s="646"/>
      <c r="AE12" s="646"/>
      <c r="AF12" s="646"/>
      <c r="AG12" s="646"/>
      <c r="AH12" s="646"/>
      <c r="AI12" s="646"/>
      <c r="AJ12" s="646"/>
      <c r="AK12" s="646"/>
    </row>
    <row r="13" spans="1:37">
      <c r="A13" s="929"/>
      <c r="B13" s="704" t="s">
        <v>111</v>
      </c>
      <c r="C13" s="704" t="s">
        <v>112</v>
      </c>
      <c r="D13" s="704" t="s">
        <v>259</v>
      </c>
      <c r="E13" s="656"/>
      <c r="F13" s="704" t="s">
        <v>111</v>
      </c>
      <c r="G13" s="704" t="s">
        <v>112</v>
      </c>
      <c r="H13" s="704" t="s">
        <v>259</v>
      </c>
      <c r="I13" s="675"/>
      <c r="J13" s="704" t="s">
        <v>111</v>
      </c>
      <c r="K13" s="704" t="s">
        <v>112</v>
      </c>
      <c r="L13" s="704" t="s">
        <v>259</v>
      </c>
      <c r="M13" s="646"/>
      <c r="N13" s="667" t="s">
        <v>429</v>
      </c>
      <c r="O13" s="667"/>
      <c r="P13" s="707" t="s">
        <v>804</v>
      </c>
      <c r="Q13" s="677"/>
      <c r="R13" s="963" t="s">
        <v>803</v>
      </c>
      <c r="S13" s="964"/>
      <c r="T13" s="646"/>
      <c r="U13" s="646"/>
      <c r="V13" s="646"/>
      <c r="W13" s="646"/>
      <c r="X13" s="646"/>
      <c r="Y13" s="646"/>
      <c r="Z13" s="646"/>
      <c r="AA13" s="646"/>
      <c r="AB13" s="646"/>
      <c r="AC13" s="646"/>
      <c r="AD13" s="646"/>
      <c r="AE13" s="646"/>
      <c r="AF13" s="646"/>
      <c r="AG13" s="646"/>
      <c r="AH13" s="646"/>
      <c r="AI13" s="646"/>
      <c r="AJ13" s="646"/>
      <c r="AK13" s="646"/>
    </row>
    <row r="14" spans="1:37" ht="18.600000000000001" thickBot="1">
      <c r="A14" s="929"/>
      <c r="B14" s="573">
        <v>0</v>
      </c>
      <c r="C14" s="573">
        <v>0</v>
      </c>
      <c r="D14" s="573">
        <v>0</v>
      </c>
      <c r="E14" s="656"/>
      <c r="F14" s="573">
        <v>0</v>
      </c>
      <c r="G14" s="573">
        <v>0</v>
      </c>
      <c r="H14" s="573">
        <v>0</v>
      </c>
      <c r="I14" s="675"/>
      <c r="J14" s="573">
        <v>0</v>
      </c>
      <c r="K14" s="573">
        <v>0</v>
      </c>
      <c r="L14" s="573">
        <v>0</v>
      </c>
      <c r="M14" s="646"/>
      <c r="N14" s="667" t="s">
        <v>430</v>
      </c>
      <c r="O14" s="667"/>
      <c r="P14" s="706">
        <v>0</v>
      </c>
      <c r="Q14" s="705" t="s">
        <v>802</v>
      </c>
      <c r="R14" s="965">
        <f>P14*2</f>
        <v>0</v>
      </c>
      <c r="S14" s="966"/>
      <c r="T14" s="646"/>
      <c r="U14" s="646"/>
      <c r="V14" s="646"/>
      <c r="W14" s="646"/>
      <c r="X14" s="646"/>
      <c r="Y14" s="646"/>
      <c r="Z14" s="646"/>
      <c r="AA14" s="646"/>
      <c r="AB14" s="646"/>
      <c r="AC14" s="646"/>
      <c r="AD14" s="646"/>
      <c r="AE14" s="646"/>
      <c r="AF14" s="646"/>
      <c r="AG14" s="646"/>
      <c r="AH14" s="646"/>
      <c r="AI14" s="646"/>
      <c r="AJ14" s="646"/>
      <c r="AK14" s="646"/>
    </row>
    <row r="15" spans="1:37" ht="18.75" customHeight="1" thickBot="1">
      <c r="A15" s="929"/>
      <c r="B15" s="704" t="s">
        <v>114</v>
      </c>
      <c r="C15" s="704" t="s">
        <v>115</v>
      </c>
      <c r="D15" s="704" t="s">
        <v>116</v>
      </c>
      <c r="E15" s="656"/>
      <c r="F15" s="704" t="s">
        <v>114</v>
      </c>
      <c r="G15" s="704" t="s">
        <v>115</v>
      </c>
      <c r="H15" s="704" t="s">
        <v>116</v>
      </c>
      <c r="I15" s="675"/>
      <c r="J15" s="704" t="s">
        <v>114</v>
      </c>
      <c r="K15" s="704" t="s">
        <v>115</v>
      </c>
      <c r="L15" s="704" t="s">
        <v>116</v>
      </c>
      <c r="M15" s="646"/>
      <c r="N15" s="938" t="s">
        <v>428</v>
      </c>
      <c r="O15" s="692"/>
      <c r="P15" s="703"/>
      <c r="Q15" s="702"/>
      <c r="R15" s="702"/>
      <c r="S15" s="701"/>
      <c r="T15" s="646"/>
      <c r="U15" s="646"/>
      <c r="V15" s="646"/>
      <c r="W15" s="646"/>
      <c r="X15" s="646"/>
      <c r="Y15" s="646"/>
      <c r="Z15" s="646"/>
      <c r="AA15" s="646"/>
      <c r="AB15" s="646"/>
      <c r="AC15" s="646"/>
      <c r="AD15" s="646"/>
      <c r="AE15" s="646"/>
      <c r="AF15" s="646"/>
      <c r="AG15" s="646"/>
      <c r="AH15" s="646"/>
      <c r="AI15" s="646"/>
      <c r="AJ15" s="646"/>
      <c r="AK15" s="646"/>
    </row>
    <row r="16" spans="1:37" ht="18.75" customHeight="1">
      <c r="A16" s="929"/>
      <c r="B16" s="573">
        <v>0</v>
      </c>
      <c r="C16" s="573">
        <v>0</v>
      </c>
      <c r="D16" s="573">
        <v>0</v>
      </c>
      <c r="E16" s="652"/>
      <c r="F16" s="573">
        <v>0</v>
      </c>
      <c r="G16" s="573">
        <v>0</v>
      </c>
      <c r="H16" s="573">
        <v>0</v>
      </c>
      <c r="I16" s="698"/>
      <c r="J16" s="573">
        <v>0</v>
      </c>
      <c r="K16" s="573">
        <v>0</v>
      </c>
      <c r="L16" s="573">
        <v>0</v>
      </c>
      <c r="M16" s="646"/>
      <c r="N16" s="938"/>
      <c r="O16" s="692"/>
      <c r="P16" s="646"/>
      <c r="Q16" s="646"/>
      <c r="R16" s="646"/>
      <c r="S16" s="646"/>
      <c r="T16" s="646"/>
      <c r="U16" s="646"/>
      <c r="V16" s="646"/>
      <c r="W16" s="646"/>
      <c r="X16" s="646"/>
      <c r="Y16" s="646"/>
      <c r="Z16" s="646"/>
      <c r="AA16" s="646"/>
      <c r="AB16" s="646"/>
      <c r="AC16" s="646"/>
      <c r="AD16" s="646"/>
      <c r="AE16" s="646"/>
      <c r="AF16" s="646"/>
      <c r="AG16" s="646"/>
      <c r="AH16" s="646"/>
      <c r="AI16" s="646"/>
      <c r="AJ16" s="646"/>
      <c r="AK16" s="646"/>
    </row>
    <row r="17" spans="1:37" ht="18.75" customHeight="1">
      <c r="A17" s="929"/>
      <c r="B17" s="704" t="s">
        <v>858</v>
      </c>
      <c r="C17" s="704" t="s">
        <v>859</v>
      </c>
      <c r="D17" s="704" t="s">
        <v>860</v>
      </c>
      <c r="E17" s="652"/>
      <c r="F17" s="704" t="s">
        <v>858</v>
      </c>
      <c r="G17" s="704" t="s">
        <v>859</v>
      </c>
      <c r="H17" s="704" t="s">
        <v>860</v>
      </c>
      <c r="I17" s="698"/>
      <c r="J17" s="704" t="s">
        <v>858</v>
      </c>
      <c r="K17" s="704" t="s">
        <v>859</v>
      </c>
      <c r="L17" s="704" t="s">
        <v>860</v>
      </c>
      <c r="M17" s="646"/>
      <c r="N17" s="692"/>
      <c r="O17" s="692"/>
      <c r="P17" s="646"/>
      <c r="Q17" s="646"/>
      <c r="R17" s="646"/>
      <c r="S17" s="646"/>
      <c r="T17" s="646"/>
      <c r="U17" s="646"/>
      <c r="V17" s="646"/>
      <c r="W17" s="646"/>
      <c r="X17" s="646"/>
      <c r="Y17" s="646"/>
      <c r="Z17" s="646"/>
      <c r="AA17" s="646"/>
      <c r="AB17" s="646"/>
      <c r="AC17" s="646"/>
      <c r="AD17" s="646"/>
      <c r="AE17" s="646"/>
      <c r="AF17" s="646"/>
      <c r="AG17" s="646"/>
      <c r="AH17" s="646"/>
      <c r="AI17" s="646"/>
      <c r="AJ17" s="646"/>
      <c r="AK17" s="646"/>
    </row>
    <row r="18" spans="1:37" ht="18.75" customHeight="1">
      <c r="A18" s="929"/>
      <c r="B18" s="573">
        <v>0</v>
      </c>
      <c r="C18" s="573">
        <v>0</v>
      </c>
      <c r="D18" s="573">
        <v>0</v>
      </c>
      <c r="E18" s="652"/>
      <c r="F18" s="573">
        <v>0</v>
      </c>
      <c r="G18" s="573">
        <v>0</v>
      </c>
      <c r="H18" s="573">
        <v>0</v>
      </c>
      <c r="I18" s="698"/>
      <c r="J18" s="573">
        <v>0</v>
      </c>
      <c r="K18" s="573">
        <v>0</v>
      </c>
      <c r="L18" s="573">
        <v>0</v>
      </c>
      <c r="M18" s="646"/>
      <c r="N18" s="692"/>
      <c r="O18" s="692"/>
      <c r="P18" s="646"/>
      <c r="Q18" s="646"/>
      <c r="R18" s="646"/>
      <c r="S18" s="646"/>
      <c r="T18" s="646"/>
      <c r="U18" s="646"/>
      <c r="V18" s="646"/>
      <c r="W18" s="646"/>
      <c r="X18" s="646"/>
      <c r="Y18" s="646"/>
      <c r="Z18" s="646"/>
      <c r="AA18" s="646"/>
      <c r="AB18" s="646"/>
      <c r="AC18" s="646"/>
      <c r="AD18" s="646"/>
      <c r="AE18" s="646"/>
      <c r="AF18" s="646"/>
      <c r="AG18" s="646"/>
      <c r="AH18" s="646"/>
      <c r="AI18" s="646"/>
      <c r="AJ18" s="646"/>
      <c r="AK18" s="646"/>
    </row>
    <row r="19" spans="1:37">
      <c r="A19" s="929"/>
      <c r="B19" s="697" t="s">
        <v>796</v>
      </c>
      <c r="C19" s="697" t="s">
        <v>796</v>
      </c>
      <c r="D19" s="697" t="s">
        <v>796</v>
      </c>
      <c r="E19" s="652"/>
      <c r="F19" s="697" t="s">
        <v>796</v>
      </c>
      <c r="G19" s="697" t="s">
        <v>796</v>
      </c>
      <c r="H19" s="697" t="s">
        <v>796</v>
      </c>
      <c r="I19" s="698"/>
      <c r="J19" s="697" t="s">
        <v>796</v>
      </c>
      <c r="K19" s="697" t="s">
        <v>796</v>
      </c>
      <c r="L19" s="697" t="s">
        <v>796</v>
      </c>
      <c r="M19" s="646"/>
      <c r="N19" s="938" t="s">
        <v>428</v>
      </c>
      <c r="O19" s="692"/>
      <c r="P19" s="646"/>
      <c r="Q19" s="646"/>
      <c r="R19" s="646"/>
      <c r="S19" s="646"/>
      <c r="T19" s="646"/>
      <c r="U19" s="646"/>
      <c r="V19" s="646"/>
      <c r="W19" s="646"/>
      <c r="X19" s="646"/>
      <c r="Y19" s="646"/>
      <c r="Z19" s="646"/>
      <c r="AA19" s="646"/>
      <c r="AB19" s="646"/>
      <c r="AC19" s="646"/>
      <c r="AD19" s="646"/>
      <c r="AE19" s="646"/>
      <c r="AF19" s="646"/>
      <c r="AG19" s="646"/>
      <c r="AH19" s="646"/>
      <c r="AI19" s="646"/>
      <c r="AJ19" s="646"/>
      <c r="AK19" s="646"/>
    </row>
    <row r="20" spans="1:37">
      <c r="A20" s="930"/>
      <c r="B20" s="657"/>
      <c r="C20" s="646"/>
      <c r="D20" s="671"/>
      <c r="E20" s="646"/>
      <c r="F20" s="657"/>
      <c r="G20" s="646"/>
      <c r="H20" s="671"/>
      <c r="I20" s="646"/>
      <c r="J20" s="657"/>
      <c r="K20" s="646"/>
      <c r="L20" s="671"/>
      <c r="M20" s="646"/>
      <c r="N20" s="938"/>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6"/>
    </row>
    <row r="21" spans="1:37">
      <c r="A21" s="700" t="s">
        <v>801</v>
      </c>
      <c r="B21" s="949" t="s">
        <v>765</v>
      </c>
      <c r="C21" s="950"/>
      <c r="D21" s="950"/>
      <c r="E21" s="950"/>
      <c r="F21" s="950"/>
      <c r="G21" s="950"/>
      <c r="H21" s="950"/>
      <c r="I21" s="950"/>
      <c r="J21" s="950"/>
      <c r="K21" s="950"/>
      <c r="L21" s="951"/>
      <c r="M21" s="646"/>
      <c r="N21" s="646"/>
      <c r="O21" s="646"/>
      <c r="P21" s="693" t="s">
        <v>800</v>
      </c>
      <c r="Q21" s="646"/>
      <c r="R21" s="646"/>
      <c r="S21" s="646"/>
      <c r="T21" s="646"/>
      <c r="U21" s="646"/>
      <c r="V21" s="646"/>
      <c r="W21" s="646"/>
      <c r="X21" s="646"/>
      <c r="Y21" s="646"/>
      <c r="Z21" s="646"/>
      <c r="AA21" s="646"/>
      <c r="AB21" s="646"/>
      <c r="AC21" s="646"/>
      <c r="AD21" s="646"/>
      <c r="AE21" s="646"/>
      <c r="AF21" s="646"/>
      <c r="AG21" s="646"/>
      <c r="AH21" s="646"/>
      <c r="AI21" s="646"/>
      <c r="AJ21" s="646"/>
      <c r="AK21" s="646"/>
    </row>
    <row r="22" spans="1:37" ht="18.75" customHeight="1">
      <c r="A22" s="928"/>
      <c r="B22" s="917" t="s">
        <v>799</v>
      </c>
      <c r="C22" s="918"/>
      <c r="D22" s="918"/>
      <c r="E22" s="918"/>
      <c r="F22" s="918"/>
      <c r="G22" s="918"/>
      <c r="H22" s="918"/>
      <c r="I22" s="918"/>
      <c r="J22" s="918"/>
      <c r="K22" s="918"/>
      <c r="L22" s="919"/>
      <c r="M22" s="646"/>
      <c r="N22" s="646"/>
      <c r="O22" s="646"/>
      <c r="P22" s="952" t="s">
        <v>798</v>
      </c>
      <c r="Q22" s="952"/>
      <c r="R22" s="952"/>
      <c r="S22" s="952"/>
      <c r="T22" s="952"/>
      <c r="U22" s="646"/>
      <c r="V22" s="646"/>
      <c r="W22" s="646"/>
      <c r="X22" s="646"/>
      <c r="Y22" s="646"/>
      <c r="Z22" s="646"/>
      <c r="AA22" s="646"/>
      <c r="AB22" s="646"/>
      <c r="AC22" s="646"/>
      <c r="AD22" s="646"/>
      <c r="AE22" s="646"/>
      <c r="AF22" s="646"/>
      <c r="AG22" s="646"/>
      <c r="AH22" s="646"/>
      <c r="AI22" s="646"/>
      <c r="AJ22" s="646"/>
      <c r="AK22" s="646"/>
    </row>
    <row r="23" spans="1:37" ht="18.75" customHeight="1">
      <c r="A23" s="929"/>
      <c r="B23" s="657"/>
      <c r="C23" s="646"/>
      <c r="D23" s="671"/>
      <c r="E23" s="646"/>
      <c r="F23" s="657"/>
      <c r="G23" s="646"/>
      <c r="H23" s="671"/>
      <c r="I23" s="646"/>
      <c r="J23" s="657"/>
      <c r="K23" s="646"/>
      <c r="L23" s="671"/>
      <c r="M23" s="646"/>
      <c r="N23" s="646"/>
      <c r="O23" s="646"/>
      <c r="P23" s="952"/>
      <c r="Q23" s="952"/>
      <c r="R23" s="952"/>
      <c r="S23" s="952"/>
      <c r="T23" s="952"/>
      <c r="U23" s="646"/>
      <c r="V23" s="646"/>
      <c r="W23" s="646"/>
      <c r="X23" s="646"/>
      <c r="Y23" s="646"/>
      <c r="Z23" s="646"/>
      <c r="AA23" s="646"/>
      <c r="AB23" s="646"/>
      <c r="AC23" s="646"/>
      <c r="AD23" s="646"/>
      <c r="AE23" s="646"/>
      <c r="AF23" s="646"/>
      <c r="AG23" s="646"/>
      <c r="AH23" s="646"/>
      <c r="AI23" s="646"/>
      <c r="AJ23" s="646"/>
      <c r="AK23" s="646"/>
    </row>
    <row r="24" spans="1:37">
      <c r="A24" s="929"/>
      <c r="B24" s="700" t="s">
        <v>108</v>
      </c>
      <c r="C24" s="700" t="s">
        <v>109</v>
      </c>
      <c r="D24" s="700" t="s">
        <v>110</v>
      </c>
      <c r="E24" s="659"/>
      <c r="F24" s="700" t="s">
        <v>108</v>
      </c>
      <c r="G24" s="700" t="s">
        <v>109</v>
      </c>
      <c r="H24" s="700" t="s">
        <v>110</v>
      </c>
      <c r="I24" s="659"/>
      <c r="J24" s="700" t="s">
        <v>108</v>
      </c>
      <c r="K24" s="700" t="s">
        <v>109</v>
      </c>
      <c r="L24" s="700" t="s">
        <v>110</v>
      </c>
      <c r="M24" s="646"/>
      <c r="N24" s="646"/>
      <c r="O24" s="646"/>
      <c r="P24" s="952"/>
      <c r="Q24" s="952"/>
      <c r="R24" s="952"/>
      <c r="S24" s="952"/>
      <c r="T24" s="952"/>
      <c r="U24" s="646"/>
      <c r="V24" s="646"/>
      <c r="W24" s="646"/>
      <c r="X24" s="646"/>
      <c r="Y24" s="646"/>
      <c r="Z24" s="646"/>
      <c r="AA24" s="646"/>
      <c r="AB24" s="646"/>
      <c r="AC24" s="646"/>
      <c r="AD24" s="646"/>
      <c r="AE24" s="646"/>
      <c r="AF24" s="646"/>
      <c r="AG24" s="646"/>
      <c r="AH24" s="646"/>
      <c r="AI24" s="646"/>
      <c r="AJ24" s="646"/>
      <c r="AK24" s="646"/>
    </row>
    <row r="25" spans="1:37">
      <c r="A25" s="929"/>
      <c r="B25" s="662">
        <f>0.9*C6</f>
        <v>0</v>
      </c>
      <c r="C25" s="662">
        <f>0.37*C6</f>
        <v>0</v>
      </c>
      <c r="D25" s="662">
        <f>0.27*C6</f>
        <v>0</v>
      </c>
      <c r="E25" s="656"/>
      <c r="F25" s="669">
        <f>3.8*G6</f>
        <v>0</v>
      </c>
      <c r="G25" s="662">
        <f>0.8*G6</f>
        <v>0</v>
      </c>
      <c r="H25" s="662">
        <f>1.4*G6</f>
        <v>0</v>
      </c>
      <c r="I25" s="656"/>
      <c r="J25" s="662">
        <f>1.2*K6</f>
        <v>0</v>
      </c>
      <c r="K25" s="662">
        <f>0.63*K6</f>
        <v>0</v>
      </c>
      <c r="L25" s="662">
        <f>0.37*K6</f>
        <v>0</v>
      </c>
      <c r="M25" s="646"/>
      <c r="N25" s="646"/>
      <c r="O25" s="646"/>
      <c r="P25" s="952"/>
      <c r="Q25" s="952"/>
      <c r="R25" s="952"/>
      <c r="S25" s="952"/>
      <c r="T25" s="952"/>
      <c r="U25" s="646"/>
      <c r="V25" s="646"/>
      <c r="W25" s="646"/>
      <c r="X25" s="646"/>
      <c r="Y25" s="646"/>
      <c r="Z25" s="646"/>
      <c r="AA25" s="646"/>
      <c r="AB25" s="646"/>
      <c r="AC25" s="646"/>
      <c r="AD25" s="646"/>
      <c r="AE25" s="646"/>
      <c r="AF25" s="646"/>
      <c r="AG25" s="646"/>
      <c r="AH25" s="646"/>
      <c r="AI25" s="646"/>
      <c r="AJ25" s="646"/>
      <c r="AK25" s="646"/>
    </row>
    <row r="26" spans="1:37">
      <c r="A26" s="929"/>
      <c r="B26" s="700" t="s">
        <v>111</v>
      </c>
      <c r="C26" s="700" t="s">
        <v>112</v>
      </c>
      <c r="D26" s="700" t="s">
        <v>259</v>
      </c>
      <c r="E26" s="656"/>
      <c r="F26" s="700" t="s">
        <v>111</v>
      </c>
      <c r="G26" s="700" t="s">
        <v>112</v>
      </c>
      <c r="H26" s="700" t="s">
        <v>259</v>
      </c>
      <c r="I26" s="656"/>
      <c r="J26" s="700" t="s">
        <v>111</v>
      </c>
      <c r="K26" s="700" t="s">
        <v>112</v>
      </c>
      <c r="L26" s="700" t="s">
        <v>259</v>
      </c>
      <c r="M26" s="646"/>
      <c r="N26" s="646"/>
      <c r="O26" s="646"/>
      <c r="P26" s="699"/>
      <c r="Q26" s="699"/>
      <c r="R26" s="699"/>
      <c r="S26" s="699"/>
      <c r="T26" s="646"/>
      <c r="U26" s="646"/>
      <c r="V26" s="646"/>
      <c r="W26" s="646"/>
      <c r="X26" s="646"/>
      <c r="Y26" s="646"/>
      <c r="Z26" s="646"/>
      <c r="AA26" s="646"/>
      <c r="AB26" s="646"/>
      <c r="AC26" s="646"/>
      <c r="AD26" s="646"/>
      <c r="AE26" s="646"/>
      <c r="AF26" s="646"/>
      <c r="AG26" s="646"/>
      <c r="AH26" s="646"/>
      <c r="AI26" s="646"/>
      <c r="AJ26" s="646"/>
      <c r="AK26" s="646"/>
    </row>
    <row r="27" spans="1:37" ht="18.75" customHeight="1">
      <c r="A27" s="929"/>
      <c r="B27" s="662">
        <f>0.05*C6</f>
        <v>0</v>
      </c>
      <c r="C27" s="662">
        <v>0</v>
      </c>
      <c r="D27" s="662">
        <v>0</v>
      </c>
      <c r="E27" s="656"/>
      <c r="F27" s="662">
        <f>0.18*G6</f>
        <v>0</v>
      </c>
      <c r="G27" s="662">
        <v>0</v>
      </c>
      <c r="H27" s="662">
        <v>0</v>
      </c>
      <c r="I27" s="656"/>
      <c r="J27" s="662">
        <f>0.07*K6</f>
        <v>0</v>
      </c>
      <c r="K27" s="662">
        <v>0</v>
      </c>
      <c r="L27" s="662">
        <v>0</v>
      </c>
      <c r="M27" s="646"/>
      <c r="N27" s="646"/>
      <c r="O27" s="646"/>
      <c r="P27" s="945" t="s">
        <v>797</v>
      </c>
      <c r="Q27" s="945"/>
      <c r="R27" s="945"/>
      <c r="S27" s="945"/>
      <c r="T27" s="945"/>
      <c r="U27" s="646"/>
      <c r="V27" s="646"/>
      <c r="W27" s="646"/>
      <c r="X27" s="646"/>
      <c r="Y27" s="646"/>
      <c r="Z27" s="646"/>
      <c r="AA27" s="646"/>
      <c r="AB27" s="646"/>
      <c r="AC27" s="646"/>
      <c r="AD27" s="646"/>
      <c r="AE27" s="646"/>
      <c r="AF27" s="646"/>
      <c r="AG27" s="646"/>
      <c r="AH27" s="646"/>
      <c r="AI27" s="646"/>
      <c r="AJ27" s="646"/>
      <c r="AK27" s="646"/>
    </row>
    <row r="28" spans="1:37">
      <c r="A28" s="929"/>
      <c r="B28" s="697" t="s">
        <v>796</v>
      </c>
      <c r="C28" s="697" t="s">
        <v>796</v>
      </c>
      <c r="D28" s="697" t="s">
        <v>796</v>
      </c>
      <c r="E28" s="652"/>
      <c r="F28" s="697" t="s">
        <v>796</v>
      </c>
      <c r="G28" s="697" t="s">
        <v>796</v>
      </c>
      <c r="H28" s="697" t="s">
        <v>796</v>
      </c>
      <c r="I28" s="698"/>
      <c r="J28" s="697" t="s">
        <v>796</v>
      </c>
      <c r="K28" s="697" t="s">
        <v>796</v>
      </c>
      <c r="L28" s="697" t="s">
        <v>796</v>
      </c>
      <c r="M28" s="646"/>
      <c r="N28" s="646"/>
      <c r="O28" s="646"/>
      <c r="P28" s="945"/>
      <c r="Q28" s="945"/>
      <c r="R28" s="945"/>
      <c r="S28" s="945"/>
      <c r="T28" s="945"/>
      <c r="U28" s="646"/>
      <c r="V28" s="646"/>
      <c r="W28" s="646"/>
      <c r="X28" s="646"/>
      <c r="Y28" s="646"/>
      <c r="Z28" s="646"/>
      <c r="AA28" s="646"/>
      <c r="AB28" s="646"/>
      <c r="AC28" s="646"/>
      <c r="AD28" s="646"/>
      <c r="AE28" s="646"/>
      <c r="AF28" s="646"/>
      <c r="AG28" s="646"/>
      <c r="AH28" s="646"/>
      <c r="AI28" s="646"/>
      <c r="AJ28" s="646"/>
      <c r="AK28" s="646"/>
    </row>
    <row r="29" spans="1:37">
      <c r="A29" s="930"/>
      <c r="B29" s="657"/>
      <c r="C29" s="646"/>
      <c r="D29" s="671"/>
      <c r="E29" s="646"/>
      <c r="F29" s="657"/>
      <c r="G29" s="646"/>
      <c r="H29" s="671"/>
      <c r="I29" s="646"/>
      <c r="J29" s="657"/>
      <c r="K29" s="646"/>
      <c r="L29" s="671"/>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row>
    <row r="30" spans="1:37">
      <c r="A30" s="572" t="s">
        <v>795</v>
      </c>
      <c r="B30" s="942" t="s">
        <v>794</v>
      </c>
      <c r="C30" s="943"/>
      <c r="D30" s="943"/>
      <c r="E30" s="943"/>
      <c r="F30" s="943"/>
      <c r="G30" s="943"/>
      <c r="H30" s="943"/>
      <c r="I30" s="943"/>
      <c r="J30" s="943"/>
      <c r="K30" s="943"/>
      <c r="L30" s="944"/>
      <c r="M30" s="646"/>
      <c r="N30" s="646"/>
      <c r="O30" s="646"/>
      <c r="P30" s="696" t="s">
        <v>793</v>
      </c>
      <c r="Q30" s="646"/>
      <c r="R30" s="646"/>
      <c r="S30" s="646"/>
      <c r="T30" s="646"/>
      <c r="U30" s="646"/>
      <c r="V30" s="646"/>
      <c r="W30" s="646"/>
      <c r="X30" s="646"/>
      <c r="Y30" s="646"/>
      <c r="Z30" s="646"/>
      <c r="AA30" s="646"/>
      <c r="AB30" s="646"/>
      <c r="AC30" s="646"/>
      <c r="AD30" s="646"/>
      <c r="AE30" s="646"/>
      <c r="AF30" s="646"/>
      <c r="AG30" s="646"/>
      <c r="AH30" s="646"/>
      <c r="AI30" s="646"/>
      <c r="AJ30" s="646"/>
      <c r="AK30" s="646"/>
    </row>
    <row r="31" spans="1:37">
      <c r="A31" s="928"/>
      <c r="B31" s="917" t="s">
        <v>792</v>
      </c>
      <c r="C31" s="918"/>
      <c r="D31" s="918"/>
      <c r="E31" s="918"/>
      <c r="F31" s="918"/>
      <c r="G31" s="918"/>
      <c r="H31" s="918"/>
      <c r="I31" s="918"/>
      <c r="J31" s="918"/>
      <c r="K31" s="918"/>
      <c r="L31" s="919"/>
      <c r="M31" s="646"/>
      <c r="N31" s="646"/>
      <c r="O31" s="646"/>
      <c r="P31" s="695" t="s">
        <v>791</v>
      </c>
      <c r="Q31" s="646"/>
      <c r="R31" s="646"/>
      <c r="S31" s="646"/>
      <c r="T31" s="646"/>
      <c r="U31" s="646"/>
      <c r="V31" s="646"/>
      <c r="W31" s="646"/>
      <c r="X31" s="646"/>
      <c r="Y31" s="646"/>
      <c r="Z31" s="646"/>
      <c r="AA31" s="646"/>
      <c r="AB31" s="646"/>
      <c r="AC31" s="646"/>
      <c r="AD31" s="646"/>
      <c r="AE31" s="646"/>
      <c r="AF31" s="646"/>
      <c r="AG31" s="646"/>
      <c r="AH31" s="646"/>
      <c r="AI31" s="646"/>
      <c r="AJ31" s="646"/>
      <c r="AK31" s="646"/>
    </row>
    <row r="32" spans="1:37">
      <c r="A32" s="929"/>
      <c r="B32" s="683" t="s">
        <v>146</v>
      </c>
      <c r="C32" s="682" t="s">
        <v>146</v>
      </c>
      <c r="D32" s="682" t="s">
        <v>146</v>
      </c>
      <c r="E32" s="657"/>
      <c r="F32" s="683" t="s">
        <v>146</v>
      </c>
      <c r="G32" s="682" t="s">
        <v>146</v>
      </c>
      <c r="H32" s="682" t="s">
        <v>146</v>
      </c>
      <c r="I32" s="657"/>
      <c r="J32" s="683" t="s">
        <v>146</v>
      </c>
      <c r="K32" s="682" t="s">
        <v>146</v>
      </c>
      <c r="L32" s="681" t="s">
        <v>146</v>
      </c>
      <c r="M32" s="646"/>
      <c r="N32" s="646"/>
      <c r="O32" s="667"/>
      <c r="P32" s="695" t="s">
        <v>790</v>
      </c>
      <c r="Q32" s="646"/>
      <c r="R32" s="694" t="s">
        <v>789</v>
      </c>
      <c r="S32" s="646"/>
      <c r="T32" s="646"/>
      <c r="U32" s="646"/>
      <c r="V32" s="646"/>
      <c r="W32" s="646"/>
      <c r="X32" s="646"/>
      <c r="Y32" s="646"/>
      <c r="Z32" s="646"/>
      <c r="AA32" s="646"/>
      <c r="AB32" s="646"/>
      <c r="AC32" s="646"/>
      <c r="AD32" s="646"/>
      <c r="AE32" s="646"/>
      <c r="AF32" s="646"/>
      <c r="AG32" s="646"/>
      <c r="AH32" s="646"/>
      <c r="AI32" s="646"/>
      <c r="AJ32" s="646"/>
      <c r="AK32" s="646"/>
    </row>
    <row r="33" spans="1:37">
      <c r="A33" s="929"/>
      <c r="B33" s="572" t="s">
        <v>108</v>
      </c>
      <c r="C33" s="572" t="s">
        <v>109</v>
      </c>
      <c r="D33" s="572" t="s">
        <v>110</v>
      </c>
      <c r="E33" s="659"/>
      <c r="F33" s="572" t="s">
        <v>108</v>
      </c>
      <c r="G33" s="572" t="s">
        <v>109</v>
      </c>
      <c r="H33" s="572" t="s">
        <v>110</v>
      </c>
      <c r="I33" s="657"/>
      <c r="J33" s="572" t="s">
        <v>108</v>
      </c>
      <c r="K33" s="572" t="s">
        <v>109</v>
      </c>
      <c r="L33" s="572" t="s">
        <v>110</v>
      </c>
      <c r="M33" s="646"/>
      <c r="N33" s="646"/>
      <c r="O33" s="667"/>
      <c r="P33" s="646"/>
      <c r="Q33" s="646"/>
      <c r="R33" s="646"/>
      <c r="S33" s="646"/>
      <c r="T33" s="646"/>
      <c r="U33" s="646"/>
      <c r="V33" s="646"/>
      <c r="W33" s="646"/>
      <c r="X33" s="646"/>
      <c r="Y33" s="646"/>
      <c r="Z33" s="646"/>
      <c r="AA33" s="646"/>
      <c r="AB33" s="646"/>
      <c r="AC33" s="646"/>
      <c r="AD33" s="646"/>
      <c r="AE33" s="646"/>
      <c r="AF33" s="646"/>
      <c r="AG33" s="646"/>
      <c r="AH33" s="646"/>
      <c r="AI33" s="646"/>
      <c r="AJ33" s="646"/>
      <c r="AK33" s="646"/>
    </row>
    <row r="34" spans="1:37">
      <c r="A34" s="929"/>
      <c r="B34" s="573">
        <v>0</v>
      </c>
      <c r="C34" s="573">
        <v>0</v>
      </c>
      <c r="D34" s="573">
        <v>0</v>
      </c>
      <c r="E34" s="656"/>
      <c r="F34" s="573">
        <v>0</v>
      </c>
      <c r="G34" s="573">
        <v>0</v>
      </c>
      <c r="H34" s="573">
        <v>0</v>
      </c>
      <c r="I34" s="657"/>
      <c r="J34" s="573">
        <v>0</v>
      </c>
      <c r="K34" s="573">
        <v>0</v>
      </c>
      <c r="L34" s="573">
        <v>0</v>
      </c>
      <c r="M34" s="646"/>
      <c r="N34" s="646"/>
      <c r="O34" s="692"/>
      <c r="P34" s="693" t="s">
        <v>788</v>
      </c>
      <c r="Q34" s="646"/>
      <c r="R34" s="646"/>
      <c r="S34" s="646"/>
      <c r="T34" s="646"/>
      <c r="U34" s="646"/>
      <c r="V34" s="646"/>
      <c r="W34" s="646"/>
      <c r="X34" s="646"/>
      <c r="Y34" s="646"/>
      <c r="Z34" s="646"/>
      <c r="AA34" s="646"/>
      <c r="AB34" s="646"/>
      <c r="AC34" s="646"/>
      <c r="AD34" s="646"/>
      <c r="AE34" s="646"/>
      <c r="AF34" s="646"/>
      <c r="AG34" s="646"/>
      <c r="AH34" s="646"/>
      <c r="AI34" s="646"/>
      <c r="AJ34" s="646"/>
      <c r="AK34" s="646"/>
    </row>
    <row r="35" spans="1:37">
      <c r="A35" s="929"/>
      <c r="B35" s="572" t="s">
        <v>111</v>
      </c>
      <c r="C35" s="646"/>
      <c r="D35" s="646"/>
      <c r="E35" s="687"/>
      <c r="F35" s="572" t="s">
        <v>111</v>
      </c>
      <c r="G35" s="646"/>
      <c r="H35" s="646"/>
      <c r="I35" s="657"/>
      <c r="J35" s="572" t="s">
        <v>111</v>
      </c>
      <c r="K35" s="646"/>
      <c r="L35" s="671"/>
      <c r="M35" s="646"/>
      <c r="N35" s="646"/>
      <c r="O35" s="692"/>
      <c r="P35" s="945" t="s">
        <v>787</v>
      </c>
      <c r="Q35" s="945"/>
      <c r="R35" s="945"/>
      <c r="S35" s="945"/>
      <c r="T35" s="945"/>
      <c r="U35" s="646"/>
      <c r="V35" s="646"/>
      <c r="W35" s="646"/>
      <c r="X35" s="646"/>
      <c r="Y35" s="646"/>
      <c r="Z35" s="646"/>
      <c r="AA35" s="646"/>
      <c r="AB35" s="646"/>
      <c r="AC35" s="646"/>
      <c r="AD35" s="646"/>
      <c r="AE35" s="646"/>
      <c r="AF35" s="646"/>
      <c r="AG35" s="646"/>
      <c r="AH35" s="646"/>
      <c r="AI35" s="646"/>
      <c r="AJ35" s="646"/>
      <c r="AK35" s="646"/>
    </row>
    <row r="36" spans="1:37">
      <c r="A36" s="929"/>
      <c r="B36" s="573">
        <v>0</v>
      </c>
      <c r="C36" s="646"/>
      <c r="D36" s="691" t="s">
        <v>774</v>
      </c>
      <c r="E36" s="687"/>
      <c r="F36" s="573">
        <v>0</v>
      </c>
      <c r="G36" s="646"/>
      <c r="H36" s="691" t="s">
        <v>774</v>
      </c>
      <c r="I36" s="657"/>
      <c r="J36" s="573">
        <v>0</v>
      </c>
      <c r="K36" s="646"/>
      <c r="L36" s="690" t="s">
        <v>774</v>
      </c>
      <c r="M36" s="646"/>
      <c r="N36" s="646"/>
      <c r="O36" s="646"/>
      <c r="P36" s="945"/>
      <c r="Q36" s="945"/>
      <c r="R36" s="945"/>
      <c r="S36" s="945"/>
      <c r="T36" s="945"/>
      <c r="U36" s="646"/>
      <c r="V36" s="646"/>
      <c r="W36" s="646"/>
      <c r="X36" s="646"/>
      <c r="Y36" s="646"/>
      <c r="Z36" s="646"/>
      <c r="AA36" s="646"/>
      <c r="AB36" s="646"/>
      <c r="AC36" s="646"/>
      <c r="AD36" s="646"/>
      <c r="AE36" s="646"/>
      <c r="AF36" s="646"/>
      <c r="AG36" s="646"/>
      <c r="AH36" s="646"/>
      <c r="AI36" s="646"/>
      <c r="AJ36" s="646"/>
      <c r="AK36" s="646"/>
    </row>
    <row r="37" spans="1:37">
      <c r="A37" s="929"/>
      <c r="B37" s="689" t="s">
        <v>784</v>
      </c>
      <c r="C37" s="646"/>
      <c r="D37" s="688" t="s">
        <v>783</v>
      </c>
      <c r="E37" s="687"/>
      <c r="F37" s="689" t="s">
        <v>784</v>
      </c>
      <c r="G37" s="646"/>
      <c r="H37" s="688" t="s">
        <v>783</v>
      </c>
      <c r="I37" s="657"/>
      <c r="J37" s="689" t="s">
        <v>784</v>
      </c>
      <c r="K37" s="646"/>
      <c r="L37" s="688" t="s">
        <v>783</v>
      </c>
      <c r="M37" s="646"/>
      <c r="N37" s="646"/>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646"/>
    </row>
    <row r="38" spans="1:37">
      <c r="A38" s="929"/>
      <c r="B38" s="946" t="s">
        <v>782</v>
      </c>
      <c r="C38" s="947"/>
      <c r="D38" s="948"/>
      <c r="E38" s="687"/>
      <c r="F38" s="946" t="s">
        <v>782</v>
      </c>
      <c r="G38" s="947"/>
      <c r="H38" s="948"/>
      <c r="I38" s="657"/>
      <c r="J38" s="946" t="s">
        <v>782</v>
      </c>
      <c r="K38" s="947"/>
      <c r="L38" s="948"/>
      <c r="M38" s="677"/>
      <c r="N38" s="677"/>
      <c r="O38" s="677"/>
      <c r="P38" s="646"/>
      <c r="Q38" s="646"/>
      <c r="R38" s="646"/>
      <c r="S38" s="646"/>
      <c r="T38" s="646"/>
      <c r="U38" s="646"/>
      <c r="V38" s="646"/>
      <c r="W38" s="646"/>
      <c r="X38" s="646"/>
      <c r="Y38" s="646"/>
      <c r="Z38" s="646"/>
      <c r="AA38" s="646"/>
      <c r="AB38" s="646"/>
      <c r="AC38" s="646"/>
      <c r="AD38" s="646"/>
      <c r="AE38" s="646"/>
      <c r="AF38" s="646"/>
      <c r="AG38" s="646"/>
      <c r="AH38" s="646"/>
      <c r="AI38" s="646"/>
      <c r="AJ38" s="646"/>
      <c r="AK38" s="646"/>
    </row>
    <row r="39" spans="1:37">
      <c r="A39" s="930"/>
      <c r="B39" s="686"/>
      <c r="C39" s="685"/>
      <c r="D39" s="685"/>
      <c r="E39" s="687"/>
      <c r="F39" s="686"/>
      <c r="G39" s="685"/>
      <c r="H39" s="685"/>
      <c r="I39" s="657"/>
      <c r="J39" s="686"/>
      <c r="K39" s="685"/>
      <c r="L39" s="684"/>
      <c r="M39" s="677"/>
      <c r="N39" s="677"/>
      <c r="O39" s="677"/>
      <c r="P39" s="646"/>
      <c r="Q39" s="646"/>
      <c r="R39" s="646"/>
      <c r="S39" s="646"/>
      <c r="T39" s="646"/>
      <c r="U39" s="646"/>
      <c r="V39" s="646"/>
      <c r="W39" s="646"/>
      <c r="X39" s="646"/>
      <c r="Y39" s="646"/>
      <c r="Z39" s="646"/>
      <c r="AA39" s="646"/>
      <c r="AB39" s="646"/>
      <c r="AC39" s="646"/>
      <c r="AD39" s="646"/>
      <c r="AE39" s="646"/>
      <c r="AF39" s="646"/>
      <c r="AG39" s="646"/>
      <c r="AH39" s="646"/>
      <c r="AI39" s="646"/>
      <c r="AJ39" s="646"/>
      <c r="AK39" s="646"/>
    </row>
    <row r="40" spans="1:37">
      <c r="A40" s="680" t="s">
        <v>781</v>
      </c>
      <c r="B40" s="935" t="s">
        <v>780</v>
      </c>
      <c r="C40" s="936"/>
      <c r="D40" s="936"/>
      <c r="E40" s="936"/>
      <c r="F40" s="936"/>
      <c r="G40" s="936"/>
      <c r="H40" s="936"/>
      <c r="I40" s="936"/>
      <c r="J40" s="936"/>
      <c r="K40" s="936"/>
      <c r="L40" s="937"/>
      <c r="M40" s="677"/>
      <c r="N40" s="677"/>
      <c r="O40" s="677"/>
      <c r="P40" s="646"/>
      <c r="Q40" s="646"/>
      <c r="R40" s="646"/>
      <c r="S40" s="646"/>
      <c r="T40" s="646"/>
      <c r="U40" s="646"/>
      <c r="V40" s="646"/>
      <c r="W40" s="646"/>
      <c r="X40" s="646"/>
      <c r="Y40" s="646"/>
      <c r="Z40" s="646"/>
      <c r="AA40" s="646"/>
      <c r="AB40" s="646"/>
      <c r="AC40" s="646"/>
      <c r="AD40" s="646"/>
      <c r="AE40" s="646"/>
      <c r="AF40" s="646"/>
      <c r="AG40" s="646"/>
      <c r="AH40" s="646"/>
      <c r="AI40" s="646"/>
      <c r="AJ40" s="646"/>
      <c r="AK40" s="646"/>
    </row>
    <row r="41" spans="1:37">
      <c r="A41" s="928"/>
      <c r="B41" s="917" t="s">
        <v>779</v>
      </c>
      <c r="C41" s="918"/>
      <c r="D41" s="918"/>
      <c r="E41" s="918"/>
      <c r="F41" s="918"/>
      <c r="G41" s="918"/>
      <c r="H41" s="918"/>
      <c r="I41" s="918"/>
      <c r="J41" s="918"/>
      <c r="K41" s="918"/>
      <c r="L41" s="919"/>
      <c r="M41" s="677"/>
      <c r="N41" s="677"/>
      <c r="O41" s="677"/>
      <c r="P41" s="646"/>
      <c r="Q41" s="646"/>
      <c r="R41" s="646"/>
      <c r="S41" s="646"/>
      <c r="T41" s="646"/>
      <c r="U41" s="646"/>
      <c r="V41" s="646"/>
      <c r="W41" s="646"/>
      <c r="X41" s="646"/>
      <c r="Y41" s="646"/>
      <c r="Z41" s="646"/>
      <c r="AA41" s="646"/>
      <c r="AB41" s="646"/>
      <c r="AC41" s="646"/>
      <c r="AD41" s="646"/>
      <c r="AE41" s="646"/>
      <c r="AF41" s="646"/>
      <c r="AG41" s="646"/>
      <c r="AH41" s="646"/>
      <c r="AI41" s="646"/>
      <c r="AJ41" s="646"/>
      <c r="AK41" s="646"/>
    </row>
    <row r="42" spans="1:37">
      <c r="A42" s="929"/>
      <c r="B42" s="683" t="s">
        <v>146</v>
      </c>
      <c r="C42" s="682" t="s">
        <v>146</v>
      </c>
      <c r="D42" s="681" t="s">
        <v>146</v>
      </c>
      <c r="E42" s="677"/>
      <c r="F42" s="683" t="s">
        <v>146</v>
      </c>
      <c r="G42" s="682" t="s">
        <v>146</v>
      </c>
      <c r="H42" s="681" t="s">
        <v>146</v>
      </c>
      <c r="I42" s="677"/>
      <c r="J42" s="683" t="s">
        <v>146</v>
      </c>
      <c r="K42" s="682" t="s">
        <v>146</v>
      </c>
      <c r="L42" s="681" t="s">
        <v>146</v>
      </c>
      <c r="M42" s="677"/>
      <c r="N42" s="667" t="s">
        <v>429</v>
      </c>
      <c r="O42" s="677"/>
      <c r="P42" s="646"/>
      <c r="Q42" s="646"/>
      <c r="R42" s="646"/>
      <c r="S42" s="646"/>
      <c r="T42" s="646"/>
      <c r="U42" s="646"/>
      <c r="V42" s="646"/>
      <c r="W42" s="646"/>
      <c r="X42" s="646"/>
      <c r="Y42" s="646"/>
      <c r="Z42" s="646"/>
      <c r="AA42" s="646"/>
      <c r="AB42" s="646"/>
      <c r="AC42" s="646"/>
      <c r="AD42" s="646"/>
      <c r="AE42" s="646"/>
      <c r="AF42" s="646"/>
      <c r="AG42" s="646"/>
      <c r="AH42" s="646"/>
      <c r="AI42" s="646"/>
      <c r="AJ42" s="646"/>
      <c r="AK42" s="646"/>
    </row>
    <row r="43" spans="1:37">
      <c r="A43" s="929"/>
      <c r="B43" s="680" t="s">
        <v>108</v>
      </c>
      <c r="C43" s="680" t="s">
        <v>109</v>
      </c>
      <c r="D43" s="680" t="s">
        <v>110</v>
      </c>
      <c r="E43" s="679"/>
      <c r="F43" s="680" t="s">
        <v>108</v>
      </c>
      <c r="G43" s="680" t="s">
        <v>109</v>
      </c>
      <c r="H43" s="680" t="s">
        <v>110</v>
      </c>
      <c r="I43" s="679"/>
      <c r="J43" s="680" t="s">
        <v>108</v>
      </c>
      <c r="K43" s="680" t="s">
        <v>109</v>
      </c>
      <c r="L43" s="680" t="s">
        <v>110</v>
      </c>
      <c r="M43" s="677"/>
      <c r="N43" s="667" t="s">
        <v>430</v>
      </c>
      <c r="O43" s="677"/>
      <c r="P43" s="646"/>
      <c r="Q43" s="646"/>
      <c r="R43" s="646"/>
      <c r="S43" s="646"/>
      <c r="T43" s="646"/>
      <c r="U43" s="646"/>
      <c r="V43" s="646"/>
      <c r="W43" s="646"/>
      <c r="X43" s="646"/>
      <c r="Y43" s="646"/>
      <c r="Z43" s="646"/>
      <c r="AA43" s="646"/>
      <c r="AB43" s="646"/>
      <c r="AC43" s="646"/>
      <c r="AD43" s="646"/>
      <c r="AE43" s="646"/>
      <c r="AF43" s="646"/>
      <c r="AG43" s="646"/>
      <c r="AH43" s="646"/>
      <c r="AI43" s="646"/>
      <c r="AJ43" s="646"/>
      <c r="AK43" s="646"/>
    </row>
    <row r="44" spans="1:37">
      <c r="A44" s="929"/>
      <c r="B44" s="573">
        <v>0</v>
      </c>
      <c r="C44" s="573">
        <v>0</v>
      </c>
      <c r="D44" s="573">
        <v>0</v>
      </c>
      <c r="E44" s="679"/>
      <c r="F44" s="573">
        <v>0</v>
      </c>
      <c r="G44" s="573">
        <v>0</v>
      </c>
      <c r="H44" s="573">
        <v>0</v>
      </c>
      <c r="I44" s="678"/>
      <c r="J44" s="573">
        <v>0</v>
      </c>
      <c r="K44" s="573">
        <v>0</v>
      </c>
      <c r="L44" s="573">
        <v>0</v>
      </c>
      <c r="M44" s="677"/>
      <c r="N44" s="938" t="s">
        <v>428</v>
      </c>
      <c r="O44" s="677"/>
      <c r="P44" s="646"/>
      <c r="Q44" s="646"/>
      <c r="R44" s="646"/>
      <c r="S44" s="646"/>
      <c r="T44" s="646"/>
      <c r="U44" s="646"/>
      <c r="V44" s="646"/>
      <c r="W44" s="646"/>
      <c r="X44" s="646"/>
      <c r="Y44" s="646"/>
      <c r="Z44" s="646"/>
      <c r="AA44" s="646"/>
      <c r="AB44" s="646"/>
      <c r="AC44" s="646"/>
      <c r="AD44" s="646"/>
      <c r="AE44" s="646"/>
      <c r="AF44" s="646"/>
      <c r="AG44" s="646"/>
      <c r="AH44" s="646"/>
      <c r="AI44" s="646"/>
      <c r="AJ44" s="646"/>
      <c r="AK44" s="646"/>
    </row>
    <row r="45" spans="1:37">
      <c r="A45" s="930"/>
      <c r="B45" s="674"/>
      <c r="C45" s="673"/>
      <c r="D45" s="672"/>
      <c r="E45" s="679"/>
      <c r="F45" s="674"/>
      <c r="G45" s="673"/>
      <c r="H45" s="672"/>
      <c r="I45" s="678"/>
      <c r="J45" s="674"/>
      <c r="K45" s="673"/>
      <c r="L45" s="672"/>
      <c r="M45" s="677"/>
      <c r="N45" s="938"/>
      <c r="O45" s="677"/>
      <c r="P45" s="646"/>
      <c r="Q45" s="646"/>
      <c r="R45" s="646"/>
      <c r="S45" s="646"/>
      <c r="T45" s="646"/>
      <c r="U45" s="646"/>
      <c r="V45" s="646"/>
      <c r="W45" s="646"/>
      <c r="X45" s="646"/>
      <c r="Y45" s="646"/>
      <c r="Z45" s="646"/>
      <c r="AA45" s="646"/>
      <c r="AB45" s="646"/>
      <c r="AC45" s="646"/>
      <c r="AD45" s="646"/>
      <c r="AE45" s="646"/>
      <c r="AF45" s="646"/>
      <c r="AG45" s="646"/>
      <c r="AH45" s="646"/>
      <c r="AI45" s="646"/>
      <c r="AJ45" s="646"/>
      <c r="AK45" s="646"/>
    </row>
    <row r="46" spans="1:37">
      <c r="A46" s="574" t="s">
        <v>778</v>
      </c>
      <c r="B46" s="939" t="s">
        <v>777</v>
      </c>
      <c r="C46" s="940"/>
      <c r="D46" s="940"/>
      <c r="E46" s="940"/>
      <c r="F46" s="940"/>
      <c r="G46" s="940"/>
      <c r="H46" s="940"/>
      <c r="I46" s="940"/>
      <c r="J46" s="940"/>
      <c r="K46" s="940"/>
      <c r="L46" s="941"/>
      <c r="M46" s="646"/>
      <c r="N46" s="646"/>
      <c r="O46" s="646"/>
      <c r="P46" s="676" t="s">
        <v>776</v>
      </c>
      <c r="Q46" s="646"/>
      <c r="R46" s="646"/>
      <c r="S46" s="646"/>
      <c r="T46" s="646"/>
      <c r="U46" s="646"/>
      <c r="V46" s="646"/>
      <c r="W46" s="646"/>
      <c r="X46" s="646"/>
      <c r="Y46" s="646"/>
      <c r="Z46" s="646"/>
      <c r="AA46" s="646"/>
      <c r="AB46" s="646"/>
      <c r="AC46" s="646"/>
      <c r="AD46" s="646"/>
      <c r="AE46" s="646"/>
      <c r="AF46" s="646"/>
      <c r="AG46" s="646"/>
      <c r="AH46" s="646"/>
      <c r="AI46" s="646"/>
      <c r="AJ46" s="646"/>
      <c r="AK46" s="646"/>
    </row>
    <row r="47" spans="1:37" ht="18" customHeight="1">
      <c r="A47" s="928"/>
      <c r="B47" s="917" t="s">
        <v>775</v>
      </c>
      <c r="C47" s="918"/>
      <c r="D47" s="918"/>
      <c r="E47" s="918"/>
      <c r="F47" s="918"/>
      <c r="G47" s="918"/>
      <c r="H47" s="918"/>
      <c r="I47" s="918"/>
      <c r="J47" s="918"/>
      <c r="K47" s="918"/>
      <c r="L47" s="919"/>
      <c r="M47" s="646"/>
      <c r="N47" s="646"/>
      <c r="O47" s="646"/>
      <c r="P47" s="665"/>
      <c r="Q47" s="646"/>
      <c r="R47" s="646"/>
      <c r="S47" s="646"/>
      <c r="T47" s="646"/>
      <c r="U47" s="646"/>
      <c r="V47" s="646"/>
      <c r="W47" s="646"/>
      <c r="X47" s="646"/>
      <c r="Y47" s="646"/>
      <c r="Z47" s="646"/>
      <c r="AA47" s="646"/>
      <c r="AB47" s="646"/>
      <c r="AC47" s="646"/>
      <c r="AD47" s="646"/>
      <c r="AE47" s="646"/>
      <c r="AF47" s="646"/>
      <c r="AG47" s="646"/>
      <c r="AH47" s="646"/>
      <c r="AI47" s="646"/>
      <c r="AJ47" s="646"/>
      <c r="AK47" s="646"/>
    </row>
    <row r="48" spans="1:37">
      <c r="A48" s="929"/>
      <c r="B48" s="931" t="s">
        <v>774</v>
      </c>
      <c r="C48" s="932"/>
      <c r="D48" s="574" t="s">
        <v>108</v>
      </c>
      <c r="E48" s="659"/>
      <c r="F48" s="931" t="s">
        <v>774</v>
      </c>
      <c r="G48" s="932"/>
      <c r="H48" s="574" t="s">
        <v>108</v>
      </c>
      <c r="I48" s="659"/>
      <c r="J48" s="931" t="s">
        <v>774</v>
      </c>
      <c r="K48" s="932"/>
      <c r="L48" s="574" t="s">
        <v>108</v>
      </c>
      <c r="M48" s="646"/>
      <c r="N48" s="667"/>
      <c r="O48" s="667"/>
      <c r="P48" s="646"/>
      <c r="Q48" s="665"/>
      <c r="R48" s="665"/>
      <c r="S48" s="665"/>
      <c r="T48" s="646"/>
      <c r="U48" s="646"/>
      <c r="V48" s="646"/>
      <c r="W48" s="646"/>
      <c r="X48" s="646"/>
      <c r="Y48" s="646"/>
      <c r="Z48" s="646"/>
      <c r="AA48" s="646"/>
      <c r="AB48" s="646"/>
      <c r="AC48" s="646"/>
      <c r="AD48" s="646"/>
      <c r="AE48" s="646"/>
      <c r="AF48" s="646"/>
      <c r="AG48" s="646"/>
      <c r="AH48" s="646"/>
      <c r="AI48" s="646"/>
      <c r="AJ48" s="646"/>
      <c r="AK48" s="646"/>
    </row>
    <row r="49" spans="1:37">
      <c r="A49" s="929"/>
      <c r="B49" s="933" t="s">
        <v>773</v>
      </c>
      <c r="C49" s="934"/>
      <c r="D49" s="573">
        <f>VLOOKUP(B49,'Manure and Nutrient Credits'!$A$3:$B$16,2,FALSE)</f>
        <v>0</v>
      </c>
      <c r="E49" s="656"/>
      <c r="F49" s="933" t="s">
        <v>773</v>
      </c>
      <c r="G49" s="934"/>
      <c r="H49" s="573">
        <f>VLOOKUP(F49,'Manure and Nutrient Credits'!$A$3:$B$16,2,FALSE)</f>
        <v>0</v>
      </c>
      <c r="I49" s="675"/>
      <c r="J49" s="933" t="s">
        <v>773</v>
      </c>
      <c r="K49" s="934"/>
      <c r="L49" s="573">
        <f>VLOOKUP(J49,'Manure and Nutrient Credits'!$A$3:$B$16,2,FALSE)</f>
        <v>0</v>
      </c>
      <c r="M49" s="646"/>
      <c r="N49" s="668"/>
      <c r="O49" s="668"/>
      <c r="P49" s="646"/>
      <c r="Q49" s="646"/>
      <c r="R49" s="646"/>
      <c r="S49" s="646"/>
      <c r="T49" s="646"/>
      <c r="U49" s="646"/>
      <c r="V49" s="646"/>
      <c r="W49" s="646"/>
      <c r="X49" s="646"/>
      <c r="Y49" s="646"/>
      <c r="Z49" s="646"/>
      <c r="AA49" s="646"/>
      <c r="AB49" s="646"/>
      <c r="AC49" s="646"/>
      <c r="AD49" s="646"/>
      <c r="AE49" s="646"/>
      <c r="AF49" s="646"/>
      <c r="AG49" s="646"/>
      <c r="AH49" s="646"/>
      <c r="AI49" s="646"/>
      <c r="AJ49" s="646"/>
      <c r="AK49" s="646"/>
    </row>
    <row r="50" spans="1:37">
      <c r="A50" s="930"/>
      <c r="B50" s="674"/>
      <c r="C50" s="673"/>
      <c r="D50" s="672"/>
      <c r="E50" s="656"/>
      <c r="F50" s="674"/>
      <c r="G50" s="673"/>
      <c r="H50" s="672"/>
      <c r="I50" s="675"/>
      <c r="J50" s="674"/>
      <c r="K50" s="673"/>
      <c r="L50" s="672"/>
      <c r="M50" s="646"/>
      <c r="N50" s="668"/>
      <c r="O50" s="668"/>
      <c r="P50" s="646"/>
      <c r="Q50" s="646"/>
      <c r="R50" s="646"/>
      <c r="S50" s="646"/>
      <c r="T50" s="646"/>
      <c r="U50" s="646"/>
      <c r="V50" s="646"/>
      <c r="W50" s="646"/>
      <c r="X50" s="646"/>
      <c r="Y50" s="646"/>
      <c r="Z50" s="646"/>
      <c r="AA50" s="646"/>
      <c r="AB50" s="646"/>
      <c r="AC50" s="646"/>
      <c r="AD50" s="646"/>
      <c r="AE50" s="646"/>
      <c r="AF50" s="646"/>
      <c r="AG50" s="646"/>
      <c r="AH50" s="646"/>
      <c r="AI50" s="646"/>
      <c r="AJ50" s="646"/>
      <c r="AK50" s="646"/>
    </row>
    <row r="51" spans="1:37" ht="18" customHeight="1">
      <c r="A51" s="661" t="s">
        <v>772</v>
      </c>
      <c r="B51" s="912" t="s">
        <v>771</v>
      </c>
      <c r="C51" s="913"/>
      <c r="D51" s="913"/>
      <c r="E51" s="913"/>
      <c r="F51" s="913"/>
      <c r="G51" s="913"/>
      <c r="H51" s="913"/>
      <c r="I51" s="913"/>
      <c r="J51" s="913"/>
      <c r="K51" s="913"/>
      <c r="L51" s="914"/>
      <c r="M51" s="646"/>
      <c r="N51" s="667"/>
      <c r="O51" s="667"/>
      <c r="P51" s="646"/>
      <c r="Q51" s="646"/>
      <c r="R51" s="646"/>
      <c r="S51" s="646"/>
      <c r="T51" s="646"/>
      <c r="U51" s="646"/>
      <c r="V51" s="646"/>
      <c r="W51" s="646"/>
      <c r="X51" s="646"/>
      <c r="Y51" s="646"/>
      <c r="Z51" s="646"/>
      <c r="AA51" s="646"/>
      <c r="AB51" s="646"/>
      <c r="AC51" s="646"/>
      <c r="AD51" s="646"/>
      <c r="AE51" s="646"/>
      <c r="AF51" s="646"/>
      <c r="AG51" s="646"/>
      <c r="AH51" s="646"/>
      <c r="AI51" s="646"/>
      <c r="AJ51" s="646"/>
      <c r="AK51" s="646"/>
    </row>
    <row r="52" spans="1:37" ht="18" customHeight="1">
      <c r="A52" s="915"/>
      <c r="B52" s="917" t="s">
        <v>770</v>
      </c>
      <c r="C52" s="918"/>
      <c r="D52" s="918"/>
      <c r="E52" s="918"/>
      <c r="F52" s="918"/>
      <c r="G52" s="918"/>
      <c r="H52" s="918"/>
      <c r="I52" s="918"/>
      <c r="J52" s="918"/>
      <c r="K52" s="918"/>
      <c r="L52" s="919"/>
      <c r="M52" s="646"/>
      <c r="N52" s="667"/>
      <c r="O52" s="667"/>
      <c r="P52" s="646"/>
      <c r="Q52" s="646"/>
      <c r="R52" s="646"/>
      <c r="S52" s="646"/>
      <c r="T52" s="646"/>
      <c r="U52" s="646"/>
      <c r="V52" s="646"/>
      <c r="W52" s="646"/>
      <c r="X52" s="646"/>
      <c r="Y52" s="646"/>
      <c r="Z52" s="646"/>
      <c r="AA52" s="646"/>
      <c r="AB52" s="646"/>
      <c r="AC52" s="646"/>
      <c r="AD52" s="646"/>
      <c r="AE52" s="646"/>
      <c r="AF52" s="646"/>
      <c r="AG52" s="646"/>
      <c r="AH52" s="646"/>
      <c r="AI52" s="646"/>
      <c r="AJ52" s="646"/>
      <c r="AK52" s="646"/>
    </row>
    <row r="53" spans="1:37">
      <c r="A53" s="916"/>
      <c r="B53" s="657"/>
      <c r="C53" s="646"/>
      <c r="D53" s="671"/>
      <c r="E53" s="646"/>
      <c r="F53" s="657"/>
      <c r="G53" s="646"/>
      <c r="H53" s="671"/>
      <c r="I53" s="646"/>
      <c r="J53" s="657"/>
      <c r="K53" s="646"/>
      <c r="L53" s="671"/>
      <c r="M53" s="646"/>
      <c r="N53" s="646"/>
      <c r="O53" s="646"/>
      <c r="P53" s="646"/>
      <c r="Q53" s="646"/>
      <c r="R53" s="646"/>
      <c r="S53" s="646"/>
      <c r="T53" s="646"/>
      <c r="U53" s="646"/>
      <c r="V53" s="646"/>
      <c r="W53" s="646"/>
      <c r="X53" s="646"/>
      <c r="Y53" s="646"/>
      <c r="Z53" s="646"/>
      <c r="AA53" s="646"/>
      <c r="AB53" s="646"/>
      <c r="AC53" s="646"/>
      <c r="AD53" s="646"/>
      <c r="AE53" s="646"/>
      <c r="AF53" s="646"/>
      <c r="AG53" s="646"/>
      <c r="AH53" s="646"/>
      <c r="AI53" s="646"/>
      <c r="AJ53" s="646"/>
      <c r="AK53" s="646"/>
    </row>
    <row r="54" spans="1:37">
      <c r="A54" s="471"/>
      <c r="B54" s="924" t="s">
        <v>769</v>
      </c>
      <c r="C54" s="925"/>
      <c r="D54" s="926"/>
      <c r="E54" s="646"/>
      <c r="F54" s="924" t="s">
        <v>769</v>
      </c>
      <c r="G54" s="925"/>
      <c r="H54" s="926"/>
      <c r="I54" s="646"/>
      <c r="J54" s="924" t="s">
        <v>769</v>
      </c>
      <c r="K54" s="925"/>
      <c r="L54" s="926"/>
      <c r="M54" s="646"/>
      <c r="N54" s="646"/>
      <c r="O54" s="646"/>
      <c r="P54" s="646"/>
      <c r="Q54" s="646"/>
      <c r="R54" s="646"/>
      <c r="S54" s="646"/>
      <c r="T54" s="646"/>
      <c r="U54" s="646"/>
      <c r="V54" s="646"/>
      <c r="W54" s="646"/>
      <c r="X54" s="646"/>
      <c r="Y54" s="646"/>
      <c r="Z54" s="646"/>
      <c r="AA54" s="646"/>
      <c r="AB54" s="646"/>
      <c r="AC54" s="646"/>
      <c r="AD54" s="646"/>
      <c r="AE54" s="646"/>
      <c r="AF54" s="646"/>
      <c r="AG54" s="646"/>
      <c r="AH54" s="646"/>
      <c r="AI54" s="646"/>
      <c r="AJ54" s="646"/>
      <c r="AK54" s="646"/>
    </row>
    <row r="55" spans="1:37">
      <c r="A55" s="670"/>
      <c r="B55" s="666" t="s">
        <v>108</v>
      </c>
      <c r="C55" s="666" t="s">
        <v>109</v>
      </c>
      <c r="D55" s="666" t="s">
        <v>110</v>
      </c>
      <c r="E55" s="659"/>
      <c r="F55" s="661" t="s">
        <v>108</v>
      </c>
      <c r="G55" s="661" t="s">
        <v>109</v>
      </c>
      <c r="H55" s="661" t="s">
        <v>110</v>
      </c>
      <c r="I55" s="659"/>
      <c r="J55" s="661" t="s">
        <v>108</v>
      </c>
      <c r="K55" s="661" t="s">
        <v>109</v>
      </c>
      <c r="L55" s="661" t="s">
        <v>110</v>
      </c>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row>
    <row r="56" spans="1:37" ht="18" hidden="1" customHeight="1">
      <c r="A56" s="646"/>
      <c r="B56" s="501">
        <f>B12-(B34*'Manure and Nutrient Credits'!$D$27)-B44-D49</f>
        <v>0</v>
      </c>
      <c r="C56" s="501">
        <f>C12-(C34*'Manure and Nutrient Credits'!$D$27)-C44</f>
        <v>0</v>
      </c>
      <c r="D56" s="501">
        <f>D12-(D34*'Manure and Nutrient Credits'!$D$27)-D44</f>
        <v>0</v>
      </c>
      <c r="E56" s="659"/>
      <c r="F56" s="501">
        <f>F12-(F34*'Manure and Nutrient Credits'!$D$30)-F44-H49</f>
        <v>0</v>
      </c>
      <c r="G56" s="501">
        <f>G12-(G34*'Manure and Nutrient Credits'!$D$30)-G44</f>
        <v>0</v>
      </c>
      <c r="H56" s="501">
        <f>H12-(H34*'Manure and Nutrient Credits'!$D$30)-H44</f>
        <v>0</v>
      </c>
      <c r="I56" s="659"/>
      <c r="J56" s="501">
        <f>J12-(J34*'Manure and Nutrient Credits'!$D$33)-J44-L49</f>
        <v>0</v>
      </c>
      <c r="K56" s="501">
        <f>K12-(K34*'Manure and Nutrient Credits'!$D$33)-K44</f>
        <v>0</v>
      </c>
      <c r="L56" s="501">
        <f>L12-(L34*'Manure and Nutrient Credits'!$D$33)-L44</f>
        <v>0</v>
      </c>
      <c r="M56" s="646"/>
      <c r="N56" s="668"/>
      <c r="O56" s="668"/>
      <c r="P56" s="646"/>
      <c r="Q56" s="667"/>
      <c r="R56" s="646"/>
      <c r="S56" s="646"/>
      <c r="T56" s="646"/>
      <c r="U56" s="646"/>
      <c r="V56" s="646"/>
      <c r="W56" s="646"/>
      <c r="X56" s="646"/>
      <c r="Y56" s="646"/>
      <c r="Z56" s="646"/>
      <c r="AA56" s="646"/>
      <c r="AB56" s="646"/>
      <c r="AC56" s="646"/>
      <c r="AD56" s="646"/>
      <c r="AE56" s="646"/>
      <c r="AF56" s="646"/>
      <c r="AG56" s="646"/>
      <c r="AH56" s="646"/>
      <c r="AI56" s="646"/>
      <c r="AJ56" s="646"/>
      <c r="AK56" s="646"/>
    </row>
    <row r="57" spans="1:37">
      <c r="A57" s="646"/>
      <c r="B57" s="662">
        <f>MAX(0,B56)</f>
        <v>0</v>
      </c>
      <c r="C57" s="662">
        <f>MAX(0,C56)</f>
        <v>0</v>
      </c>
      <c r="D57" s="662">
        <f>MAX(0,D56)</f>
        <v>0</v>
      </c>
      <c r="E57" s="659"/>
      <c r="F57" s="669">
        <f>MAX(0,F56)</f>
        <v>0</v>
      </c>
      <c r="G57" s="662">
        <f>MAX(0,G56)</f>
        <v>0</v>
      </c>
      <c r="H57" s="662">
        <f>MAX(0,H56)</f>
        <v>0</v>
      </c>
      <c r="I57" s="659"/>
      <c r="J57" s="662">
        <f>MAX(0,J56)</f>
        <v>0</v>
      </c>
      <c r="K57" s="662">
        <f>MAX(0,K56)</f>
        <v>0</v>
      </c>
      <c r="L57" s="662">
        <f>MAX(0,L56)</f>
        <v>0</v>
      </c>
      <c r="M57" s="646"/>
      <c r="N57" s="668"/>
      <c r="O57" s="668"/>
      <c r="P57" s="646"/>
      <c r="Q57" s="667"/>
      <c r="R57" s="646"/>
      <c r="S57" s="646"/>
      <c r="T57" s="646"/>
      <c r="U57" s="646"/>
      <c r="V57" s="646"/>
      <c r="W57" s="646"/>
      <c r="X57" s="646"/>
      <c r="Y57" s="646"/>
      <c r="Z57" s="646"/>
      <c r="AA57" s="646"/>
      <c r="AB57" s="646"/>
      <c r="AC57" s="646"/>
      <c r="AD57" s="646"/>
      <c r="AE57" s="646"/>
      <c r="AF57" s="646"/>
      <c r="AG57" s="646"/>
      <c r="AH57" s="646"/>
      <c r="AI57" s="646"/>
      <c r="AJ57" s="646"/>
      <c r="AK57" s="646"/>
    </row>
    <row r="58" spans="1:37">
      <c r="A58" s="646"/>
      <c r="B58" s="661" t="s">
        <v>111</v>
      </c>
      <c r="C58" s="664" t="s">
        <v>112</v>
      </c>
      <c r="D58" s="663" t="s">
        <v>259</v>
      </c>
      <c r="E58" s="659"/>
      <c r="F58" s="661" t="s">
        <v>111</v>
      </c>
      <c r="G58" s="664" t="s">
        <v>112</v>
      </c>
      <c r="H58" s="663" t="s">
        <v>259</v>
      </c>
      <c r="I58" s="659"/>
      <c r="J58" s="661" t="s">
        <v>111</v>
      </c>
      <c r="K58" s="664" t="s">
        <v>112</v>
      </c>
      <c r="L58" s="663" t="s">
        <v>259</v>
      </c>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row>
    <row r="59" spans="1:37" ht="18" hidden="1" customHeight="1">
      <c r="A59" s="646"/>
      <c r="B59" s="501">
        <f>B14-(B36*'Manure and Nutrient Credits'!$D$27)</f>
        <v>0</v>
      </c>
      <c r="C59" s="501">
        <f>C14</f>
        <v>0</v>
      </c>
      <c r="D59" s="501">
        <f>D14</f>
        <v>0</v>
      </c>
      <c r="E59" s="659"/>
      <c r="F59" s="501">
        <f>F14-(F36*'Manure and Nutrient Credits'!$D$30)</f>
        <v>0</v>
      </c>
      <c r="G59" s="501">
        <f>G14</f>
        <v>0</v>
      </c>
      <c r="H59" s="501">
        <f>H14</f>
        <v>0</v>
      </c>
      <c r="I59" s="659"/>
      <c r="J59" s="501">
        <f>J14-(J36*'Manure and Nutrient Credits'!$D$33)</f>
        <v>0</v>
      </c>
      <c r="K59" s="501">
        <f>K14</f>
        <v>0</v>
      </c>
      <c r="L59" s="501">
        <f>L14</f>
        <v>0</v>
      </c>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6"/>
    </row>
    <row r="60" spans="1:37">
      <c r="A60" s="646"/>
      <c r="B60" s="662">
        <f>MAX(0,B59)</f>
        <v>0</v>
      </c>
      <c r="C60" s="662">
        <f>MAX(0,C59)</f>
        <v>0</v>
      </c>
      <c r="D60" s="662">
        <f>MAX(0,D59)</f>
        <v>0</v>
      </c>
      <c r="E60" s="659"/>
      <c r="F60" s="662">
        <f>MAX(0,F59)</f>
        <v>0</v>
      </c>
      <c r="G60" s="662">
        <f>MAX(0,G59)</f>
        <v>0</v>
      </c>
      <c r="H60" s="662">
        <f>MAX(0,H59)</f>
        <v>0</v>
      </c>
      <c r="I60" s="659"/>
      <c r="J60" s="662">
        <f>MAX(0,J59)</f>
        <v>0</v>
      </c>
      <c r="K60" s="662">
        <f>MAX(0,K59)</f>
        <v>0</v>
      </c>
      <c r="L60" s="662">
        <f>MAX(0,L59)</f>
        <v>0</v>
      </c>
      <c r="M60" s="646"/>
      <c r="N60" s="646"/>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6"/>
    </row>
    <row r="61" spans="1:37" ht="18" customHeight="1">
      <c r="A61" s="646"/>
      <c r="B61" s="661" t="s">
        <v>114</v>
      </c>
      <c r="C61" s="661" t="s">
        <v>115</v>
      </c>
      <c r="D61" s="661" t="s">
        <v>116</v>
      </c>
      <c r="E61" s="659"/>
      <c r="F61" s="661" t="s">
        <v>114</v>
      </c>
      <c r="G61" s="661" t="s">
        <v>115</v>
      </c>
      <c r="H61" s="661" t="s">
        <v>116</v>
      </c>
      <c r="I61" s="659"/>
      <c r="J61" s="661" t="s">
        <v>114</v>
      </c>
      <c r="K61" s="661" t="s">
        <v>115</v>
      </c>
      <c r="L61" s="661" t="s">
        <v>116</v>
      </c>
      <c r="M61" s="646"/>
      <c r="N61" s="646"/>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6"/>
    </row>
    <row r="62" spans="1:37" ht="18" customHeight="1">
      <c r="A62" s="646"/>
      <c r="B62" s="501">
        <f>B16</f>
        <v>0</v>
      </c>
      <c r="C62" s="501">
        <f t="shared" ref="C62:D62" si="0">C16</f>
        <v>0</v>
      </c>
      <c r="D62" s="501">
        <f t="shared" si="0"/>
        <v>0</v>
      </c>
      <c r="E62" s="659"/>
      <c r="F62" s="501">
        <f>F16</f>
        <v>0</v>
      </c>
      <c r="G62" s="501">
        <f t="shared" ref="G62:H62" si="1">G16</f>
        <v>0</v>
      </c>
      <c r="H62" s="501">
        <f t="shared" si="1"/>
        <v>0</v>
      </c>
      <c r="I62" s="659"/>
      <c r="J62" s="501">
        <f>J16</f>
        <v>0</v>
      </c>
      <c r="K62" s="501">
        <f t="shared" ref="K62:L62" si="2">K16</f>
        <v>0</v>
      </c>
      <c r="L62" s="501">
        <f t="shared" si="2"/>
        <v>0</v>
      </c>
      <c r="M62" s="646"/>
      <c r="N62" s="646"/>
      <c r="O62" s="646"/>
      <c r="P62" s="646"/>
      <c r="Q62" s="646"/>
      <c r="R62" s="646"/>
      <c r="S62" s="646"/>
      <c r="T62" s="646"/>
      <c r="U62" s="646"/>
      <c r="V62" s="646"/>
      <c r="W62" s="646"/>
      <c r="X62" s="646"/>
      <c r="Y62" s="646"/>
      <c r="Z62" s="646"/>
      <c r="AA62" s="646"/>
      <c r="AB62" s="646"/>
      <c r="AC62" s="646"/>
      <c r="AD62" s="646"/>
      <c r="AE62" s="646"/>
      <c r="AF62" s="646"/>
      <c r="AG62" s="646"/>
      <c r="AH62" s="646"/>
      <c r="AI62" s="646"/>
      <c r="AJ62" s="646"/>
      <c r="AK62" s="646"/>
    </row>
    <row r="63" spans="1:37" ht="18" customHeight="1">
      <c r="A63" s="646"/>
      <c r="B63" s="661" t="s">
        <v>858</v>
      </c>
      <c r="C63" s="661" t="s">
        <v>859</v>
      </c>
      <c r="D63" s="661" t="s">
        <v>860</v>
      </c>
      <c r="E63" s="659"/>
      <c r="F63" s="661" t="s">
        <v>858</v>
      </c>
      <c r="G63" s="661" t="s">
        <v>859</v>
      </c>
      <c r="H63" s="661" t="s">
        <v>860</v>
      </c>
      <c r="I63" s="659"/>
      <c r="J63" s="661" t="s">
        <v>858</v>
      </c>
      <c r="K63" s="661" t="s">
        <v>859</v>
      </c>
      <c r="L63" s="661" t="s">
        <v>860</v>
      </c>
      <c r="M63" s="646"/>
      <c r="N63" s="646"/>
      <c r="O63" s="646"/>
      <c r="P63" s="646"/>
      <c r="Q63" s="646"/>
      <c r="R63" s="646"/>
      <c r="S63" s="646"/>
      <c r="T63" s="646"/>
      <c r="U63" s="646"/>
      <c r="V63" s="646"/>
      <c r="W63" s="646"/>
      <c r="X63" s="646"/>
      <c r="Y63" s="646"/>
      <c r="Z63" s="646"/>
      <c r="AA63" s="646"/>
      <c r="AB63" s="646"/>
      <c r="AC63" s="646"/>
      <c r="AD63" s="646"/>
      <c r="AE63" s="646"/>
      <c r="AF63" s="646"/>
      <c r="AG63" s="646"/>
      <c r="AH63" s="646"/>
      <c r="AI63" s="646"/>
      <c r="AJ63" s="646"/>
      <c r="AK63" s="646"/>
    </row>
    <row r="64" spans="1:37" ht="18" customHeight="1">
      <c r="A64" s="646"/>
      <c r="B64" s="501">
        <f>B18</f>
        <v>0</v>
      </c>
      <c r="C64" s="501">
        <f t="shared" ref="C64:D64" si="3">C18</f>
        <v>0</v>
      </c>
      <c r="D64" s="501">
        <f t="shared" si="3"/>
        <v>0</v>
      </c>
      <c r="E64" s="659"/>
      <c r="F64" s="501">
        <f>F18</f>
        <v>0</v>
      </c>
      <c r="G64" s="501">
        <f t="shared" ref="G64:H64" si="4">G18</f>
        <v>0</v>
      </c>
      <c r="H64" s="501">
        <f t="shared" si="4"/>
        <v>0</v>
      </c>
      <c r="I64" s="659"/>
      <c r="J64" s="501">
        <f>J18</f>
        <v>0</v>
      </c>
      <c r="K64" s="501">
        <f t="shared" ref="K64:L64" si="5">K18</f>
        <v>0</v>
      </c>
      <c r="L64" s="501">
        <f t="shared" si="5"/>
        <v>0</v>
      </c>
      <c r="M64" s="646"/>
      <c r="N64" s="646"/>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6"/>
    </row>
    <row r="65" spans="1:37">
      <c r="A65" s="927"/>
      <c r="B65" s="660"/>
      <c r="C65" s="652"/>
      <c r="D65" s="652"/>
      <c r="E65" s="659"/>
      <c r="F65" s="652"/>
      <c r="G65" s="652"/>
      <c r="H65" s="652"/>
      <c r="I65" s="659"/>
      <c r="J65" s="652"/>
      <c r="K65" s="652"/>
      <c r="L65" s="658"/>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row>
    <row r="66" spans="1:37">
      <c r="A66" s="927"/>
      <c r="B66" s="924" t="s">
        <v>768</v>
      </c>
      <c r="C66" s="925"/>
      <c r="D66" s="926"/>
      <c r="E66" s="659"/>
      <c r="F66" s="924" t="s">
        <v>768</v>
      </c>
      <c r="G66" s="925"/>
      <c r="H66" s="926"/>
      <c r="I66" s="659"/>
      <c r="J66" s="924" t="s">
        <v>768</v>
      </c>
      <c r="K66" s="925"/>
      <c r="L66" s="926"/>
      <c r="M66" s="646"/>
      <c r="N66" s="646"/>
      <c r="O66" s="646"/>
      <c r="P66" s="646"/>
      <c r="Q66" s="646"/>
      <c r="R66" s="646"/>
      <c r="S66" s="646"/>
      <c r="T66" s="646"/>
      <c r="U66" s="646"/>
      <c r="V66" s="646"/>
      <c r="W66" s="646"/>
      <c r="X66" s="646"/>
      <c r="Y66" s="646"/>
      <c r="Z66" s="646"/>
      <c r="AA66" s="646"/>
      <c r="AB66" s="646"/>
      <c r="AC66" s="646"/>
      <c r="AD66" s="646"/>
      <c r="AE66" s="646"/>
      <c r="AF66" s="646"/>
      <c r="AG66" s="646"/>
      <c r="AH66" s="646"/>
      <c r="AI66" s="646"/>
      <c r="AJ66" s="646"/>
      <c r="AK66" s="646"/>
    </row>
    <row r="67" spans="1:37">
      <c r="A67" s="646"/>
      <c r="B67" s="666" t="s">
        <v>108</v>
      </c>
      <c r="C67" s="666" t="s">
        <v>109</v>
      </c>
      <c r="D67" s="666" t="s">
        <v>110</v>
      </c>
      <c r="E67" s="659"/>
      <c r="F67" s="661" t="s">
        <v>108</v>
      </c>
      <c r="G67" s="661" t="s">
        <v>109</v>
      </c>
      <c r="H67" s="661" t="s">
        <v>110</v>
      </c>
      <c r="I67" s="659"/>
      <c r="J67" s="661" t="s">
        <v>108</v>
      </c>
      <c r="K67" s="661" t="s">
        <v>109</v>
      </c>
      <c r="L67" s="661" t="s">
        <v>110</v>
      </c>
      <c r="M67" s="646"/>
      <c r="N67" s="646"/>
      <c r="O67" s="646"/>
      <c r="P67" s="646"/>
      <c r="Q67" s="646"/>
      <c r="R67" s="646"/>
      <c r="S67" s="646"/>
      <c r="T67" s="646"/>
      <c r="U67" s="646"/>
      <c r="V67" s="646"/>
      <c r="W67" s="646"/>
      <c r="X67" s="646"/>
      <c r="Y67" s="646"/>
      <c r="Z67" s="646"/>
      <c r="AA67" s="646"/>
      <c r="AB67" s="646"/>
      <c r="AC67" s="646"/>
      <c r="AD67" s="646"/>
      <c r="AE67" s="646"/>
      <c r="AF67" s="646"/>
      <c r="AG67" s="646"/>
      <c r="AH67" s="646"/>
      <c r="AI67" s="646"/>
      <c r="AJ67" s="646"/>
      <c r="AK67" s="646"/>
    </row>
    <row r="68" spans="1:37" hidden="1">
      <c r="A68" s="646"/>
      <c r="B68" s="501">
        <f>B25-(B34*'Manure and Nutrient Credits'!$D$27)-B44-D49</f>
        <v>0</v>
      </c>
      <c r="C68" s="501">
        <f>C25-(C34*'Manure and Nutrient Credits'!$D$27)-C44</f>
        <v>0</v>
      </c>
      <c r="D68" s="501">
        <f>D25-(D34*'Manure and Nutrient Credits'!$D$27)-D44</f>
        <v>0</v>
      </c>
      <c r="E68" s="659"/>
      <c r="F68" s="501">
        <f>F25-(F34*'Manure and Nutrient Credits'!$D$30)-F44-H49</f>
        <v>0</v>
      </c>
      <c r="G68" s="501">
        <f>G25-(G34*'Manure and Nutrient Credits'!$D$30)-G44</f>
        <v>0</v>
      </c>
      <c r="H68" s="501">
        <f>H25-(H34*'Manure and Nutrient Credits'!$D$30)-H44</f>
        <v>0</v>
      </c>
      <c r="I68" s="659"/>
      <c r="J68" s="501">
        <f>J25-(J34*'Manure and Nutrient Credits'!$D$33)-J44-L49</f>
        <v>0</v>
      </c>
      <c r="K68" s="501">
        <f>K25-(K34*'Manure and Nutrient Credits'!$D$33)-K44</f>
        <v>0</v>
      </c>
      <c r="L68" s="501">
        <f>L25-(L34*'Manure and Nutrient Credits'!$D$33)-L44</f>
        <v>0</v>
      </c>
      <c r="M68" s="646"/>
      <c r="N68" s="646"/>
      <c r="O68" s="646"/>
      <c r="P68" s="646"/>
      <c r="Q68" s="646"/>
      <c r="R68" s="646"/>
      <c r="S68" s="646"/>
      <c r="T68" s="646"/>
      <c r="U68" s="646"/>
      <c r="V68" s="646"/>
      <c r="W68" s="646"/>
      <c r="X68" s="646"/>
      <c r="Y68" s="646"/>
      <c r="Z68" s="646"/>
      <c r="AA68" s="646"/>
      <c r="AB68" s="646"/>
      <c r="AC68" s="646"/>
      <c r="AD68" s="646"/>
      <c r="AE68" s="646"/>
      <c r="AF68" s="646"/>
      <c r="AG68" s="646"/>
      <c r="AH68" s="646"/>
      <c r="AI68" s="646"/>
      <c r="AJ68" s="646"/>
      <c r="AK68" s="646"/>
    </row>
    <row r="69" spans="1:37">
      <c r="A69" s="646"/>
      <c r="B69" s="501">
        <f>MAX(0,B89)</f>
        <v>0</v>
      </c>
      <c r="C69" s="501">
        <f>MAX(0,C89)</f>
        <v>0</v>
      </c>
      <c r="D69" s="501">
        <f>MAX(0,D89)</f>
        <v>0</v>
      </c>
      <c r="E69" s="659"/>
      <c r="F69" s="501">
        <f>MAX(0,F89)</f>
        <v>0</v>
      </c>
      <c r="G69" s="501">
        <f>MAX(0,G89)</f>
        <v>0</v>
      </c>
      <c r="H69" s="501">
        <f>MAX(0,H89)</f>
        <v>0</v>
      </c>
      <c r="I69" s="659"/>
      <c r="J69" s="501">
        <f>MAX(0,J89)</f>
        <v>0</v>
      </c>
      <c r="K69" s="501">
        <f>MAX(0,K89)</f>
        <v>0</v>
      </c>
      <c r="L69" s="501">
        <f>MAX(0,L89)</f>
        <v>0</v>
      </c>
      <c r="M69" s="646"/>
      <c r="N69" s="646"/>
      <c r="O69" s="646"/>
      <c r="P69" s="665"/>
      <c r="Q69" s="646"/>
      <c r="R69" s="646"/>
      <c r="S69" s="646"/>
      <c r="T69" s="646"/>
      <c r="U69" s="646"/>
      <c r="V69" s="646"/>
      <c r="W69" s="646"/>
      <c r="X69" s="646"/>
      <c r="Y69" s="646"/>
      <c r="Z69" s="646"/>
      <c r="AA69" s="646"/>
      <c r="AB69" s="646"/>
      <c r="AC69" s="646"/>
      <c r="AD69" s="646"/>
      <c r="AE69" s="646"/>
      <c r="AF69" s="646"/>
      <c r="AG69" s="646"/>
      <c r="AH69" s="646"/>
      <c r="AI69" s="646"/>
      <c r="AJ69" s="646"/>
      <c r="AK69" s="646"/>
    </row>
    <row r="70" spans="1:37">
      <c r="A70" s="646"/>
      <c r="B70" s="661" t="s">
        <v>111</v>
      </c>
      <c r="C70" s="664" t="s">
        <v>112</v>
      </c>
      <c r="D70" s="663" t="s">
        <v>259</v>
      </c>
      <c r="E70" s="659"/>
      <c r="F70" s="661" t="s">
        <v>111</v>
      </c>
      <c r="G70" s="664" t="s">
        <v>112</v>
      </c>
      <c r="H70" s="663" t="s">
        <v>259</v>
      </c>
      <c r="I70" s="659"/>
      <c r="J70" s="661" t="s">
        <v>111</v>
      </c>
      <c r="K70" s="664" t="s">
        <v>112</v>
      </c>
      <c r="L70" s="663" t="s">
        <v>259</v>
      </c>
      <c r="M70" s="646"/>
      <c r="N70" s="646"/>
      <c r="O70" s="646"/>
      <c r="P70" s="646"/>
      <c r="Q70" s="646"/>
      <c r="R70" s="646"/>
      <c r="S70" s="646"/>
      <c r="T70" s="646"/>
      <c r="U70" s="646"/>
      <c r="V70" s="646"/>
      <c r="W70" s="646"/>
      <c r="X70" s="646"/>
      <c r="Y70" s="646"/>
      <c r="Z70" s="646"/>
      <c r="AA70" s="646"/>
      <c r="AB70" s="646"/>
      <c r="AC70" s="646"/>
      <c r="AD70" s="646"/>
      <c r="AE70" s="646"/>
      <c r="AF70" s="646"/>
      <c r="AG70" s="646"/>
      <c r="AH70" s="646"/>
      <c r="AI70" s="646"/>
      <c r="AJ70" s="646"/>
      <c r="AK70" s="646"/>
    </row>
    <row r="71" spans="1:37" s="160" customFormat="1" hidden="1">
      <c r="A71" s="647"/>
      <c r="B71" s="501">
        <f>B27-(B36*'Manure and Nutrient Credits'!$D$27)</f>
        <v>0</v>
      </c>
      <c r="C71" s="501">
        <f>C27</f>
        <v>0</v>
      </c>
      <c r="D71" s="501">
        <f>D27</f>
        <v>0</v>
      </c>
      <c r="E71" s="659"/>
      <c r="F71" s="501">
        <f>F27-(F36*'Manure and Nutrient Credits'!$D$30)</f>
        <v>0</v>
      </c>
      <c r="G71" s="501">
        <f>G27</f>
        <v>0</v>
      </c>
      <c r="H71" s="501">
        <f>H27</f>
        <v>0</v>
      </c>
      <c r="I71" s="659"/>
      <c r="J71" s="501">
        <f>J27-(J36*'Manure and Nutrient Credits'!$D$33)</f>
        <v>0</v>
      </c>
      <c r="K71" s="501">
        <f>K27</f>
        <v>0</v>
      </c>
      <c r="L71" s="501">
        <f>L27</f>
        <v>0</v>
      </c>
      <c r="M71" s="647"/>
      <c r="N71" s="647"/>
      <c r="O71" s="647"/>
      <c r="P71" s="647"/>
      <c r="Q71" s="647"/>
      <c r="R71" s="647"/>
      <c r="S71" s="647"/>
      <c r="T71" s="647"/>
      <c r="U71" s="647"/>
      <c r="V71" s="647"/>
      <c r="W71" s="647"/>
      <c r="X71" s="647"/>
      <c r="Y71" s="647"/>
      <c r="Z71" s="647"/>
      <c r="AA71" s="647"/>
      <c r="AB71" s="647"/>
      <c r="AC71" s="647"/>
      <c r="AD71" s="647"/>
      <c r="AE71" s="647"/>
      <c r="AF71" s="647"/>
      <c r="AG71" s="647"/>
      <c r="AH71" s="647"/>
      <c r="AI71" s="647"/>
      <c r="AJ71" s="647"/>
      <c r="AK71" s="647"/>
    </row>
    <row r="72" spans="1:37">
      <c r="A72" s="646"/>
      <c r="B72" s="662">
        <f>MAX(0,B71)</f>
        <v>0</v>
      </c>
      <c r="C72" s="662">
        <f>MAX(0,C71)</f>
        <v>0</v>
      </c>
      <c r="D72" s="662">
        <f>MAX(0,D71)</f>
        <v>0</v>
      </c>
      <c r="E72" s="659"/>
      <c r="F72" s="662">
        <f>MAX(0,F71)</f>
        <v>0</v>
      </c>
      <c r="G72" s="662">
        <f>MAX(0,G71)</f>
        <v>0</v>
      </c>
      <c r="H72" s="662">
        <f>MAX(0,H71)</f>
        <v>0</v>
      </c>
      <c r="I72" s="659"/>
      <c r="J72" s="662">
        <f>MAX(0,J71)</f>
        <v>0</v>
      </c>
      <c r="K72" s="662">
        <f>MAX(0,K71)</f>
        <v>0</v>
      </c>
      <c r="L72" s="662">
        <f>MAX(0,L71)</f>
        <v>0</v>
      </c>
      <c r="M72" s="646"/>
      <c r="N72" s="646"/>
      <c r="O72" s="646"/>
      <c r="P72" s="646"/>
      <c r="Q72" s="646"/>
      <c r="R72" s="646"/>
      <c r="S72" s="646"/>
      <c r="T72" s="646"/>
      <c r="U72" s="646"/>
      <c r="V72" s="646"/>
      <c r="W72" s="646"/>
      <c r="X72" s="646"/>
      <c r="Y72" s="646"/>
      <c r="Z72" s="646"/>
      <c r="AA72" s="646"/>
      <c r="AB72" s="646"/>
      <c r="AC72" s="646"/>
      <c r="AD72" s="646"/>
      <c r="AE72" s="646"/>
      <c r="AF72" s="646"/>
      <c r="AG72" s="646"/>
      <c r="AH72" s="646"/>
      <c r="AI72" s="646"/>
      <c r="AJ72" s="646"/>
      <c r="AK72" s="646"/>
    </row>
    <row r="73" spans="1:37" hidden="1">
      <c r="A73" s="646"/>
      <c r="B73" s="661" t="s">
        <v>114</v>
      </c>
      <c r="C73" s="661" t="s">
        <v>115</v>
      </c>
      <c r="D73" s="661" t="s">
        <v>116</v>
      </c>
      <c r="E73" s="659"/>
      <c r="F73" s="661" t="s">
        <v>114</v>
      </c>
      <c r="G73" s="661" t="s">
        <v>115</v>
      </c>
      <c r="H73" s="661" t="s">
        <v>116</v>
      </c>
      <c r="I73" s="659"/>
      <c r="J73" s="661" t="s">
        <v>114</v>
      </c>
      <c r="K73" s="661" t="s">
        <v>115</v>
      </c>
      <c r="L73" s="661" t="s">
        <v>116</v>
      </c>
      <c r="M73" s="646"/>
      <c r="N73" s="646"/>
      <c r="O73" s="646"/>
      <c r="P73" s="646"/>
      <c r="Q73" s="646"/>
      <c r="R73" s="646"/>
      <c r="S73" s="646"/>
      <c r="T73" s="646"/>
      <c r="U73" s="646"/>
      <c r="V73" s="646"/>
      <c r="W73" s="646"/>
      <c r="X73" s="646"/>
      <c r="Y73" s="646"/>
      <c r="Z73" s="646"/>
      <c r="AA73" s="646"/>
      <c r="AB73" s="646"/>
      <c r="AC73" s="646"/>
      <c r="AD73" s="646"/>
      <c r="AE73" s="646"/>
      <c r="AF73" s="646"/>
      <c r="AG73" s="646"/>
      <c r="AH73" s="646"/>
      <c r="AI73" s="646"/>
      <c r="AJ73" s="646"/>
      <c r="AK73" s="646"/>
    </row>
    <row r="74" spans="1:37" hidden="1">
      <c r="A74" s="646"/>
      <c r="B74" s="501">
        <f>B16</f>
        <v>0</v>
      </c>
      <c r="C74" s="501">
        <f t="shared" ref="C74:D74" si="6">C16</f>
        <v>0</v>
      </c>
      <c r="D74" s="501">
        <f t="shared" si="6"/>
        <v>0</v>
      </c>
      <c r="E74" s="659"/>
      <c r="F74" s="501">
        <f>F16</f>
        <v>0</v>
      </c>
      <c r="G74" s="501">
        <f t="shared" ref="G74:H74" si="7">G16</f>
        <v>0</v>
      </c>
      <c r="H74" s="501">
        <f t="shared" si="7"/>
        <v>0</v>
      </c>
      <c r="I74" s="659"/>
      <c r="J74" s="501">
        <f>J16</f>
        <v>0</v>
      </c>
      <c r="K74" s="501">
        <f t="shared" ref="K74:L74" si="8">K16</f>
        <v>0</v>
      </c>
      <c r="L74" s="501">
        <f t="shared" si="8"/>
        <v>0</v>
      </c>
      <c r="M74" s="646"/>
      <c r="N74" s="646"/>
      <c r="O74" s="646"/>
      <c r="P74" s="646"/>
      <c r="Q74" s="646"/>
      <c r="R74" s="646"/>
      <c r="S74" s="646"/>
      <c r="T74" s="646"/>
      <c r="U74" s="646"/>
      <c r="V74" s="646"/>
      <c r="W74" s="646"/>
      <c r="X74" s="646"/>
      <c r="Y74" s="646"/>
      <c r="Z74" s="646"/>
      <c r="AA74" s="646"/>
      <c r="AB74" s="646"/>
      <c r="AC74" s="646"/>
      <c r="AD74" s="646"/>
      <c r="AE74" s="646"/>
      <c r="AF74" s="646"/>
      <c r="AG74" s="646"/>
      <c r="AH74" s="646"/>
      <c r="AI74" s="646"/>
      <c r="AJ74" s="646"/>
      <c r="AK74" s="646"/>
    </row>
    <row r="75" spans="1:37" hidden="1">
      <c r="A75" s="646"/>
      <c r="B75" s="661" t="s">
        <v>858</v>
      </c>
      <c r="C75" s="661" t="s">
        <v>859</v>
      </c>
      <c r="D75" s="661" t="s">
        <v>860</v>
      </c>
      <c r="E75" s="659"/>
      <c r="F75" s="661" t="s">
        <v>858</v>
      </c>
      <c r="G75" s="661" t="s">
        <v>859</v>
      </c>
      <c r="H75" s="661" t="s">
        <v>860</v>
      </c>
      <c r="I75" s="659"/>
      <c r="J75" s="661" t="s">
        <v>858</v>
      </c>
      <c r="K75" s="661" t="s">
        <v>859</v>
      </c>
      <c r="L75" s="661" t="s">
        <v>860</v>
      </c>
      <c r="M75" s="646"/>
      <c r="N75" s="646"/>
      <c r="O75" s="646"/>
      <c r="P75" s="646"/>
      <c r="Q75" s="646"/>
      <c r="R75" s="646"/>
      <c r="S75" s="646"/>
      <c r="T75" s="646"/>
      <c r="U75" s="646"/>
      <c r="V75" s="646"/>
      <c r="W75" s="646"/>
      <c r="X75" s="646"/>
      <c r="Y75" s="646"/>
      <c r="Z75" s="646"/>
      <c r="AA75" s="646"/>
      <c r="AB75" s="646"/>
      <c r="AC75" s="646"/>
      <c r="AD75" s="646"/>
      <c r="AE75" s="646"/>
      <c r="AF75" s="646"/>
      <c r="AG75" s="646"/>
      <c r="AH75" s="646"/>
      <c r="AI75" s="646"/>
      <c r="AJ75" s="646"/>
      <c r="AK75" s="646"/>
    </row>
    <row r="76" spans="1:37" hidden="1">
      <c r="A76" s="646"/>
      <c r="B76" s="501">
        <f>B18</f>
        <v>0</v>
      </c>
      <c r="C76" s="501">
        <f t="shared" ref="C76:D76" si="9">C18</f>
        <v>0</v>
      </c>
      <c r="D76" s="501">
        <f t="shared" si="9"/>
        <v>0</v>
      </c>
      <c r="E76" s="317"/>
      <c r="F76" s="501">
        <f>F18</f>
        <v>0</v>
      </c>
      <c r="G76" s="501">
        <f t="shared" ref="G76:H76" si="10">G18</f>
        <v>0</v>
      </c>
      <c r="H76" s="501">
        <f t="shared" si="10"/>
        <v>0</v>
      </c>
      <c r="I76" s="659"/>
      <c r="J76" s="501">
        <f>J18</f>
        <v>0</v>
      </c>
      <c r="K76" s="501">
        <f t="shared" ref="K76:L76" si="11">K18</f>
        <v>0</v>
      </c>
      <c r="L76" s="501">
        <f t="shared" si="11"/>
        <v>0</v>
      </c>
      <c r="M76" s="646"/>
      <c r="N76" s="646"/>
      <c r="O76" s="646"/>
      <c r="P76" s="646"/>
      <c r="Q76" s="646"/>
      <c r="R76" s="646"/>
      <c r="S76" s="646"/>
      <c r="T76" s="646"/>
      <c r="U76" s="646"/>
      <c r="V76" s="646"/>
      <c r="W76" s="646"/>
      <c r="X76" s="646"/>
      <c r="Y76" s="646"/>
      <c r="Z76" s="646"/>
      <c r="AA76" s="646"/>
      <c r="AB76" s="646"/>
      <c r="AC76" s="646"/>
      <c r="AD76" s="646"/>
      <c r="AE76" s="646"/>
      <c r="AF76" s="646"/>
      <c r="AG76" s="646"/>
      <c r="AH76" s="646"/>
      <c r="AI76" s="646"/>
      <c r="AJ76" s="646"/>
      <c r="AK76" s="646"/>
    </row>
    <row r="77" spans="1:37" s="160" customFormat="1">
      <c r="A77" s="647"/>
      <c r="B77" s="660"/>
      <c r="C77" s="652"/>
      <c r="D77" s="652"/>
      <c r="E77" s="659"/>
      <c r="F77" s="652"/>
      <c r="G77" s="652"/>
      <c r="H77" s="652"/>
      <c r="I77" s="659"/>
      <c r="J77" s="652"/>
      <c r="K77" s="652"/>
      <c r="L77" s="658"/>
      <c r="M77" s="647"/>
      <c r="N77" s="647"/>
      <c r="O77" s="647"/>
      <c r="P77" s="647"/>
      <c r="Q77" s="647"/>
      <c r="R77" s="647"/>
      <c r="S77" s="647"/>
      <c r="T77" s="647"/>
      <c r="U77" s="647"/>
      <c r="V77" s="647"/>
      <c r="W77" s="647"/>
      <c r="X77" s="647"/>
      <c r="Y77" s="647"/>
      <c r="Z77" s="647"/>
      <c r="AA77" s="647"/>
      <c r="AB77" s="647"/>
      <c r="AC77" s="647"/>
      <c r="AD77" s="647"/>
      <c r="AE77" s="647"/>
      <c r="AF77" s="647"/>
      <c r="AG77" s="647"/>
      <c r="AH77" s="647"/>
      <c r="AI77" s="647"/>
      <c r="AJ77" s="647"/>
      <c r="AK77" s="647"/>
    </row>
    <row r="78" spans="1:37" s="160" customFormat="1">
      <c r="A78" s="647"/>
      <c r="B78" s="657"/>
      <c r="C78" s="646"/>
      <c r="D78" s="646"/>
      <c r="E78" s="646"/>
      <c r="F78" s="646"/>
      <c r="G78" s="646"/>
      <c r="H78" s="646"/>
      <c r="I78" s="656"/>
      <c r="J78" s="920" t="s">
        <v>767</v>
      </c>
      <c r="K78" s="921"/>
      <c r="L78" s="922"/>
      <c r="M78" s="647"/>
      <c r="N78" s="647"/>
      <c r="O78" s="647"/>
      <c r="P78" s="647"/>
      <c r="Q78" s="647"/>
      <c r="R78" s="647"/>
      <c r="S78" s="647"/>
      <c r="T78" s="647"/>
      <c r="U78" s="647"/>
      <c r="V78" s="647"/>
      <c r="W78" s="647"/>
      <c r="X78" s="647"/>
      <c r="Y78" s="647"/>
      <c r="Z78" s="647"/>
      <c r="AA78" s="647"/>
      <c r="AB78" s="647"/>
      <c r="AC78" s="647"/>
      <c r="AD78" s="647"/>
      <c r="AE78" s="647"/>
      <c r="AF78" s="647"/>
      <c r="AG78" s="647"/>
      <c r="AH78" s="647"/>
      <c r="AI78" s="647"/>
      <c r="AJ78" s="647"/>
      <c r="AK78" s="647"/>
    </row>
    <row r="79" spans="1:37" s="160" customFormat="1">
      <c r="A79" s="647"/>
      <c r="B79" s="655"/>
      <c r="C79" s="654"/>
      <c r="D79" s="654"/>
      <c r="E79" s="654"/>
      <c r="F79" s="654"/>
      <c r="G79" s="654"/>
      <c r="H79" s="654"/>
      <c r="I79" s="654"/>
      <c r="J79" s="654"/>
      <c r="K79" s="654"/>
      <c r="L79" s="653"/>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row>
    <row r="80" spans="1:37" s="160" customFormat="1" ht="18" customHeight="1">
      <c r="A80" s="647"/>
      <c r="B80" s="923" t="s">
        <v>644</v>
      </c>
      <c r="C80" s="923"/>
      <c r="D80" s="923"/>
      <c r="E80" s="923"/>
      <c r="F80" s="923"/>
      <c r="G80" s="923"/>
      <c r="H80" s="923"/>
      <c r="I80" s="923"/>
      <c r="J80" s="923"/>
      <c r="K80" s="923"/>
      <c r="L80" s="923"/>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647"/>
    </row>
    <row r="81" spans="1:37" s="160" customFormat="1">
      <c r="A81" s="647"/>
      <c r="B81" s="646"/>
      <c r="C81" s="646"/>
      <c r="D81" s="646"/>
      <c r="E81" s="646"/>
      <c r="F81" s="646"/>
      <c r="G81" s="646"/>
      <c r="H81" s="646"/>
      <c r="I81" s="646"/>
      <c r="J81" s="646"/>
      <c r="K81" s="646"/>
      <c r="L81" s="646"/>
      <c r="M81" s="647"/>
      <c r="N81" s="647"/>
      <c r="O81" s="647"/>
      <c r="P81" s="647"/>
      <c r="Q81" s="647"/>
      <c r="R81" s="647"/>
      <c r="S81" s="647"/>
      <c r="T81" s="647"/>
      <c r="U81" s="647"/>
      <c r="V81" s="647"/>
      <c r="W81" s="647"/>
      <c r="X81" s="647"/>
      <c r="Y81" s="647"/>
      <c r="Z81" s="647"/>
      <c r="AA81" s="647"/>
      <c r="AB81" s="647"/>
      <c r="AC81" s="647"/>
      <c r="AD81" s="647"/>
      <c r="AE81" s="647"/>
      <c r="AF81" s="647"/>
      <c r="AG81" s="647"/>
      <c r="AH81" s="647"/>
      <c r="AI81" s="647"/>
      <c r="AJ81" s="647"/>
      <c r="AK81" s="647"/>
    </row>
    <row r="82" spans="1:37" s="160" customFormat="1" hidden="1">
      <c r="A82" s="647"/>
      <c r="B82" s="646" t="s">
        <v>766</v>
      </c>
      <c r="C82" s="646"/>
      <c r="D82" s="646"/>
      <c r="E82" s="652"/>
      <c r="F82" s="646" t="s">
        <v>766</v>
      </c>
      <c r="G82" s="646"/>
      <c r="H82" s="646"/>
      <c r="I82" s="652"/>
      <c r="J82" s="646" t="s">
        <v>766</v>
      </c>
      <c r="K82" s="646"/>
      <c r="L82" s="646"/>
      <c r="M82" s="647"/>
      <c r="N82" s="647"/>
      <c r="O82" s="647"/>
      <c r="P82" s="647"/>
      <c r="Q82" s="647"/>
      <c r="R82" s="647"/>
      <c r="S82" s="647"/>
      <c r="T82" s="647"/>
      <c r="U82" s="647"/>
      <c r="V82" s="647"/>
      <c r="W82" s="647"/>
      <c r="X82" s="647"/>
      <c r="Y82" s="647"/>
      <c r="Z82" s="647"/>
      <c r="AA82" s="647"/>
      <c r="AB82" s="647"/>
      <c r="AC82" s="647"/>
      <c r="AD82" s="647"/>
      <c r="AE82" s="647"/>
      <c r="AF82" s="647"/>
      <c r="AG82" s="647"/>
      <c r="AH82" s="647"/>
      <c r="AI82" s="647"/>
      <c r="AJ82" s="647"/>
      <c r="AK82" s="647"/>
    </row>
    <row r="83" spans="1:37" s="160" customFormat="1" hidden="1">
      <c r="A83" s="647"/>
      <c r="B83" s="651">
        <f>B12-(B34*'Manure and Nutrient Credits'!$D$27)-B44-D49</f>
        <v>0</v>
      </c>
      <c r="C83" s="651">
        <f>C12-(C34*'Manure and Nutrient Credits'!$D$27)-C44</f>
        <v>0</v>
      </c>
      <c r="D83" s="651">
        <f>D12-(D34*'Manure and Nutrient Credits'!$D$27)-D44</f>
        <v>0</v>
      </c>
      <c r="E83" s="650"/>
      <c r="F83" s="651">
        <f>F12-(F34*'Manure and Nutrient Credits'!$D$30)-F44-H49</f>
        <v>0</v>
      </c>
      <c r="G83" s="651">
        <f>G12-(G34*'Manure and Nutrient Credits'!$D$30)-G44</f>
        <v>0</v>
      </c>
      <c r="H83" s="651">
        <f>H12-(H34*'Manure and Nutrient Credits'!$D$30)-H44</f>
        <v>0</v>
      </c>
      <c r="I83" s="650"/>
      <c r="J83" s="651">
        <f>J12-(J34*'Manure and Nutrient Credits'!$D$33)-J44-L49</f>
        <v>0</v>
      </c>
      <c r="K83" s="651">
        <f>K12-(K34*'Manure and Nutrient Credits'!$D$33)-K44</f>
        <v>0</v>
      </c>
      <c r="L83" s="651">
        <f>L12-(L34*'Manure and Nutrient Credits'!$D$33)-L44</f>
        <v>0</v>
      </c>
      <c r="M83" s="647"/>
      <c r="N83" s="647"/>
      <c r="O83" s="647"/>
      <c r="P83" s="647"/>
      <c r="Q83" s="647"/>
      <c r="R83" s="647"/>
      <c r="S83" s="647"/>
      <c r="T83" s="647"/>
      <c r="U83" s="647"/>
      <c r="V83" s="647"/>
      <c r="W83" s="647"/>
      <c r="X83" s="647"/>
      <c r="Y83" s="647"/>
      <c r="Z83" s="647"/>
      <c r="AA83" s="647"/>
      <c r="AB83" s="647"/>
      <c r="AC83" s="647"/>
      <c r="AD83" s="647"/>
      <c r="AE83" s="647"/>
      <c r="AF83" s="647"/>
      <c r="AG83" s="647"/>
      <c r="AH83" s="647"/>
      <c r="AI83" s="647"/>
      <c r="AJ83" s="647"/>
      <c r="AK83" s="647"/>
    </row>
    <row r="84" spans="1:37" s="160" customFormat="1" hidden="1">
      <c r="A84" s="647"/>
      <c r="B84" s="649">
        <f>MAX(0,B83)</f>
        <v>0</v>
      </c>
      <c r="C84" s="649">
        <f>MAX(0,C83)</f>
        <v>0</v>
      </c>
      <c r="D84" s="649">
        <f>MAX(0,D83)</f>
        <v>0</v>
      </c>
      <c r="E84" s="650"/>
      <c r="F84" s="649">
        <f>MAX(0,F83)</f>
        <v>0</v>
      </c>
      <c r="G84" s="649">
        <f>MAX(0,G83)</f>
        <v>0</v>
      </c>
      <c r="H84" s="649">
        <f>MAX(0,H83)</f>
        <v>0</v>
      </c>
      <c r="I84" s="650"/>
      <c r="J84" s="649">
        <f>MAX(0,J83)</f>
        <v>0</v>
      </c>
      <c r="K84" s="649">
        <f>MAX(0,K83)</f>
        <v>0</v>
      </c>
      <c r="L84" s="649">
        <f>MAX(0,L83)</f>
        <v>0</v>
      </c>
      <c r="M84" s="647"/>
      <c r="N84" s="647"/>
      <c r="O84" s="647"/>
      <c r="P84" s="647"/>
      <c r="Q84" s="647"/>
      <c r="R84" s="647"/>
      <c r="S84" s="647"/>
      <c r="T84" s="647"/>
      <c r="U84" s="647"/>
      <c r="V84" s="647"/>
      <c r="W84" s="647"/>
      <c r="X84" s="647"/>
      <c r="Y84" s="647"/>
      <c r="Z84" s="647"/>
      <c r="AA84" s="647"/>
      <c r="AB84" s="647"/>
      <c r="AC84" s="647"/>
      <c r="AD84" s="647"/>
      <c r="AE84" s="647"/>
      <c r="AF84" s="647"/>
      <c r="AG84" s="647"/>
      <c r="AH84" s="647"/>
      <c r="AI84" s="647"/>
      <c r="AJ84" s="647"/>
      <c r="AK84" s="647"/>
    </row>
    <row r="85" spans="1:37" s="160" customFormat="1" hidden="1">
      <c r="A85" s="647"/>
      <c r="B85" s="651">
        <f>B14-(B36*'Manure and Nutrient Credits'!$D$27)</f>
        <v>0</v>
      </c>
      <c r="C85" s="651"/>
      <c r="D85" s="651"/>
      <c r="E85" s="650"/>
      <c r="F85" s="651">
        <f>F14-(F36*'Manure and Nutrient Credits'!$D$30)</f>
        <v>0</v>
      </c>
      <c r="G85" s="651"/>
      <c r="H85" s="651"/>
      <c r="I85" s="650"/>
      <c r="J85" s="651">
        <f>J14-(J36*'Manure and Nutrient Credits'!$D$33)</f>
        <v>0</v>
      </c>
      <c r="K85" s="651"/>
      <c r="L85" s="651"/>
      <c r="M85" s="647"/>
      <c r="N85" s="647"/>
      <c r="O85" s="647"/>
      <c r="P85" s="647"/>
      <c r="Q85" s="647"/>
      <c r="R85" s="647"/>
      <c r="S85" s="647"/>
      <c r="T85" s="647"/>
      <c r="U85" s="647"/>
      <c r="V85" s="647"/>
      <c r="W85" s="647"/>
      <c r="X85" s="647"/>
      <c r="Y85" s="647"/>
      <c r="Z85" s="647"/>
      <c r="AA85" s="647"/>
      <c r="AB85" s="647"/>
      <c r="AC85" s="647"/>
      <c r="AD85" s="647"/>
      <c r="AE85" s="647"/>
      <c r="AF85" s="647"/>
      <c r="AG85" s="647"/>
      <c r="AH85" s="647"/>
      <c r="AI85" s="647"/>
      <c r="AJ85" s="647"/>
      <c r="AK85" s="647"/>
    </row>
    <row r="86" spans="1:37" s="160" customFormat="1" hidden="1">
      <c r="A86" s="647"/>
      <c r="B86" s="649">
        <f>MAX(0,B85)</f>
        <v>0</v>
      </c>
      <c r="C86" s="647"/>
      <c r="D86" s="647"/>
      <c r="E86" s="650"/>
      <c r="F86" s="649">
        <f>MAX(0,F85)</f>
        <v>0</v>
      </c>
      <c r="G86" s="647"/>
      <c r="H86" s="647"/>
      <c r="I86" s="650"/>
      <c r="J86" s="649">
        <f>MAX(0,J85)</f>
        <v>0</v>
      </c>
      <c r="K86" s="647"/>
      <c r="L86" s="647"/>
      <c r="M86" s="647"/>
      <c r="N86" s="647"/>
      <c r="O86" s="647"/>
      <c r="P86" s="647"/>
      <c r="Q86" s="647"/>
      <c r="R86" s="647"/>
      <c r="S86" s="647"/>
      <c r="T86" s="647"/>
      <c r="U86" s="647"/>
      <c r="V86" s="647"/>
      <c r="W86" s="647"/>
      <c r="X86" s="647"/>
      <c r="Y86" s="647"/>
      <c r="Z86" s="647"/>
      <c r="AA86" s="647"/>
      <c r="AB86" s="647"/>
      <c r="AC86" s="647"/>
      <c r="AD86" s="647"/>
      <c r="AE86" s="647"/>
      <c r="AF86" s="647"/>
      <c r="AG86" s="647"/>
      <c r="AH86" s="647"/>
      <c r="AI86" s="647"/>
      <c r="AJ86" s="647"/>
      <c r="AK86" s="647"/>
    </row>
    <row r="87" spans="1:37" hidden="1">
      <c r="A87" s="646"/>
      <c r="B87" s="647"/>
      <c r="C87" s="647"/>
      <c r="D87" s="647"/>
      <c r="E87" s="647"/>
      <c r="F87" s="647"/>
      <c r="G87" s="647"/>
      <c r="H87" s="647"/>
      <c r="I87" s="647"/>
      <c r="J87" s="647"/>
      <c r="K87" s="647"/>
      <c r="L87" s="647"/>
      <c r="M87" s="646"/>
      <c r="N87" s="646"/>
      <c r="O87" s="646"/>
      <c r="P87" s="646"/>
      <c r="Q87" s="646"/>
      <c r="R87" s="646"/>
      <c r="S87" s="646"/>
      <c r="T87" s="646"/>
      <c r="U87" s="646"/>
      <c r="V87" s="646"/>
      <c r="W87" s="646"/>
      <c r="X87" s="646"/>
      <c r="Y87" s="646"/>
      <c r="Z87" s="646"/>
      <c r="AA87" s="646"/>
      <c r="AB87" s="646"/>
      <c r="AC87" s="646"/>
      <c r="AD87" s="646"/>
      <c r="AE87" s="646"/>
      <c r="AF87" s="646"/>
      <c r="AG87" s="646"/>
      <c r="AH87" s="646"/>
      <c r="AI87" s="646"/>
      <c r="AJ87" s="646"/>
      <c r="AK87" s="646"/>
    </row>
    <row r="88" spans="1:37" hidden="1">
      <c r="A88" s="646"/>
      <c r="B88" s="647" t="s">
        <v>765</v>
      </c>
      <c r="C88" s="647"/>
      <c r="D88" s="647"/>
      <c r="E88" s="647"/>
      <c r="F88" s="647" t="s">
        <v>765</v>
      </c>
      <c r="G88" s="647"/>
      <c r="H88" s="647"/>
      <c r="I88" s="647"/>
      <c r="J88" s="647" t="s">
        <v>765</v>
      </c>
      <c r="K88" s="647"/>
      <c r="L88" s="647"/>
      <c r="M88" s="646"/>
      <c r="N88" s="646"/>
      <c r="O88" s="646"/>
      <c r="P88" s="646"/>
      <c r="Q88" s="646"/>
      <c r="R88" s="646"/>
      <c r="S88" s="646"/>
      <c r="T88" s="646"/>
      <c r="U88" s="646"/>
      <c r="V88" s="646"/>
      <c r="W88" s="646"/>
      <c r="X88" s="646"/>
      <c r="Y88" s="646"/>
      <c r="Z88" s="646"/>
      <c r="AA88" s="646"/>
      <c r="AB88" s="646"/>
      <c r="AC88" s="646"/>
      <c r="AD88" s="646"/>
      <c r="AE88" s="646"/>
      <c r="AF88" s="646"/>
      <c r="AG88" s="646"/>
      <c r="AH88" s="646"/>
      <c r="AI88" s="646"/>
      <c r="AJ88" s="646"/>
      <c r="AK88" s="646"/>
    </row>
    <row r="89" spans="1:37" hidden="1">
      <c r="A89" s="646"/>
      <c r="B89" s="649">
        <f>B25-(B34*'Manure and Nutrient Credits'!$D$27)-B44-D49</f>
        <v>0</v>
      </c>
      <c r="C89" s="649">
        <f>C25-(C34*'Manure and Nutrient Credits'!$D$27)-C44</f>
        <v>0</v>
      </c>
      <c r="D89" s="648">
        <f>D25-(D34*'Manure and Nutrient Credits'!$D$27)-D44</f>
        <v>0</v>
      </c>
      <c r="E89" s="647"/>
      <c r="F89" s="648">
        <f>F25-(F34*'Manure and Nutrient Credits'!$D$30)-F44-H49</f>
        <v>0</v>
      </c>
      <c r="G89" s="648">
        <f>G25-(G34*'Manure and Nutrient Credits'!$D$30)-G44</f>
        <v>0</v>
      </c>
      <c r="H89" s="648">
        <f>H25-(H34*'Manure and Nutrient Credits'!$D$30)-H44</f>
        <v>0</v>
      </c>
      <c r="I89" s="648"/>
      <c r="J89" s="648">
        <f>J25-(J34*'Manure and Nutrient Credits'!$D$33)-J44-L49</f>
        <v>0</v>
      </c>
      <c r="K89" s="648">
        <f>K25-(K34*'Manure and Nutrient Credits'!$D$33)-K44</f>
        <v>0</v>
      </c>
      <c r="L89" s="648">
        <f>L25-(L34*'Manure and Nutrient Credits'!$D$33)-L44</f>
        <v>0</v>
      </c>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646"/>
      <c r="AK89" s="646"/>
    </row>
    <row r="90" spans="1:37" hidden="1">
      <c r="A90" s="646"/>
      <c r="B90" s="649">
        <f>MAX(0,B89)</f>
        <v>0</v>
      </c>
      <c r="C90" s="649">
        <f>MAX(0,C89)</f>
        <v>0</v>
      </c>
      <c r="D90" s="649">
        <f>MAX(0,D89)</f>
        <v>0</v>
      </c>
      <c r="E90" s="647"/>
      <c r="F90" s="649">
        <f>MAX(0,F89)</f>
        <v>0</v>
      </c>
      <c r="G90" s="649">
        <f>MAX(0,G89)</f>
        <v>0</v>
      </c>
      <c r="H90" s="649">
        <f>MAX(0,H89)</f>
        <v>0</v>
      </c>
      <c r="I90" s="648"/>
      <c r="J90" s="649">
        <f>MAX(0,J89)</f>
        <v>0</v>
      </c>
      <c r="K90" s="649">
        <f>MAX(0,K89)</f>
        <v>0</v>
      </c>
      <c r="L90" s="649">
        <f>MAX(0,L89)</f>
        <v>0</v>
      </c>
      <c r="M90" s="646"/>
      <c r="N90" s="646"/>
      <c r="O90" s="646"/>
      <c r="P90" s="646"/>
      <c r="Q90" s="646"/>
      <c r="R90" s="646"/>
      <c r="S90" s="646"/>
      <c r="T90" s="646"/>
      <c r="U90" s="646"/>
      <c r="V90" s="646"/>
      <c r="W90" s="646"/>
      <c r="X90" s="646"/>
      <c r="Y90" s="646"/>
      <c r="Z90" s="646"/>
      <c r="AA90" s="646"/>
      <c r="AB90" s="646"/>
      <c r="AC90" s="646"/>
      <c r="AD90" s="646"/>
      <c r="AE90" s="646"/>
      <c r="AF90" s="646"/>
      <c r="AG90" s="646"/>
      <c r="AH90" s="646"/>
      <c r="AI90" s="646"/>
      <c r="AJ90" s="646"/>
      <c r="AK90" s="646"/>
    </row>
    <row r="91" spans="1:37" hidden="1">
      <c r="A91" s="646"/>
      <c r="B91" s="649">
        <f>B27-(B36*'Manure and Nutrient Credits'!$D$27)</f>
        <v>0</v>
      </c>
      <c r="C91" s="647"/>
      <c r="D91" s="647"/>
      <c r="E91" s="647"/>
      <c r="F91" s="648">
        <f>F27-(F36*'Manure and Nutrient Credits'!$D$30)</f>
        <v>0</v>
      </c>
      <c r="G91" s="648"/>
      <c r="H91" s="648"/>
      <c r="I91" s="648"/>
      <c r="J91" s="648">
        <f>J27-(J36*'Manure and Nutrient Credits'!$D$33)</f>
        <v>0</v>
      </c>
      <c r="K91" s="648"/>
      <c r="L91" s="648"/>
      <c r="M91" s="646"/>
      <c r="N91" s="646"/>
      <c r="O91" s="646"/>
      <c r="P91" s="646"/>
      <c r="Q91" s="646"/>
      <c r="R91" s="646"/>
      <c r="S91" s="646"/>
      <c r="T91" s="646"/>
      <c r="U91" s="646"/>
      <c r="V91" s="646"/>
      <c r="W91" s="646"/>
      <c r="X91" s="646"/>
      <c r="Y91" s="646"/>
      <c r="Z91" s="646"/>
      <c r="AA91" s="646"/>
      <c r="AB91" s="646"/>
      <c r="AC91" s="646"/>
      <c r="AD91" s="646"/>
      <c r="AE91" s="646"/>
      <c r="AF91" s="646"/>
      <c r="AG91" s="646"/>
      <c r="AH91" s="646"/>
      <c r="AI91" s="646"/>
      <c r="AJ91" s="646"/>
      <c r="AK91" s="646"/>
    </row>
    <row r="92" spans="1:37" hidden="1">
      <c r="A92" s="646"/>
      <c r="B92" s="649">
        <f>MAX(0,B91)</f>
        <v>0</v>
      </c>
      <c r="C92" s="647"/>
      <c r="D92" s="647"/>
      <c r="E92" s="647"/>
      <c r="F92" s="649">
        <f>MAX(0,F91)</f>
        <v>0</v>
      </c>
      <c r="G92" s="648"/>
      <c r="H92" s="648"/>
      <c r="I92" s="648"/>
      <c r="J92" s="649">
        <f>MAX(0,J91)</f>
        <v>0</v>
      </c>
      <c r="K92" s="648"/>
      <c r="L92" s="648"/>
      <c r="M92" s="646"/>
      <c r="N92" s="646"/>
      <c r="O92" s="646"/>
      <c r="P92" s="646"/>
      <c r="Q92" s="646"/>
      <c r="R92" s="646"/>
      <c r="S92" s="646"/>
      <c r="T92" s="646"/>
      <c r="U92" s="646"/>
      <c r="V92" s="646"/>
      <c r="W92" s="646"/>
      <c r="X92" s="646"/>
      <c r="Y92" s="646"/>
      <c r="Z92" s="646"/>
      <c r="AA92" s="646"/>
      <c r="AB92" s="646"/>
      <c r="AC92" s="646"/>
      <c r="AD92" s="646"/>
      <c r="AE92" s="646"/>
      <c r="AF92" s="646"/>
      <c r="AG92" s="646"/>
      <c r="AH92" s="646"/>
      <c r="AI92" s="646"/>
      <c r="AJ92" s="646"/>
      <c r="AK92" s="646"/>
    </row>
    <row r="93" spans="1:37">
      <c r="A93" s="646"/>
      <c r="B93" s="647"/>
      <c r="C93" s="647"/>
      <c r="D93" s="647"/>
      <c r="E93" s="647"/>
      <c r="F93" s="647"/>
      <c r="G93" s="647"/>
      <c r="H93" s="647"/>
      <c r="I93" s="647"/>
      <c r="J93" s="647"/>
      <c r="K93" s="647"/>
      <c r="L93" s="647"/>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46"/>
    </row>
    <row r="94" spans="1:37">
      <c r="A94" s="646"/>
      <c r="B94" s="646"/>
      <c r="C94" s="646"/>
      <c r="D94" s="646"/>
      <c r="E94" s="646"/>
      <c r="F94" s="646"/>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646"/>
      <c r="AK94" s="646"/>
    </row>
    <row r="95" spans="1:37">
      <c r="A95" s="646"/>
      <c r="B95" s="646"/>
      <c r="C95" s="646"/>
      <c r="D95" s="646"/>
      <c r="E95" s="646"/>
      <c r="F95" s="646"/>
      <c r="G95" s="646"/>
      <c r="H95" s="646"/>
      <c r="I95" s="646"/>
      <c r="J95" s="646"/>
      <c r="K95" s="646"/>
      <c r="L95" s="646"/>
      <c r="M95" s="646"/>
      <c r="N95" s="646"/>
      <c r="O95" s="646"/>
      <c r="P95" s="646"/>
      <c r="Q95" s="646"/>
      <c r="R95" s="646"/>
      <c r="S95" s="646"/>
      <c r="T95" s="646"/>
      <c r="U95" s="646"/>
      <c r="V95" s="646"/>
      <c r="W95" s="646"/>
      <c r="X95" s="646"/>
      <c r="Y95" s="646"/>
      <c r="Z95" s="646"/>
      <c r="AA95" s="646"/>
      <c r="AB95" s="646"/>
      <c r="AC95" s="646"/>
      <c r="AD95" s="646"/>
      <c r="AE95" s="646"/>
      <c r="AF95" s="646"/>
      <c r="AG95" s="646"/>
      <c r="AH95" s="646"/>
      <c r="AI95" s="646"/>
      <c r="AJ95" s="646"/>
      <c r="AK95" s="646"/>
    </row>
    <row r="96" spans="1:37">
      <c r="A96" s="646"/>
      <c r="B96" s="646"/>
      <c r="C96" s="646"/>
      <c r="D96" s="646"/>
      <c r="E96" s="646"/>
      <c r="F96" s="646"/>
      <c r="G96" s="646"/>
      <c r="H96" s="646"/>
      <c r="I96" s="646"/>
      <c r="J96" s="646"/>
      <c r="K96" s="646"/>
      <c r="L96" s="646"/>
      <c r="M96" s="646"/>
      <c r="N96" s="646"/>
      <c r="O96" s="646"/>
      <c r="P96" s="646"/>
      <c r="Q96" s="646"/>
      <c r="R96" s="646"/>
      <c r="S96" s="646"/>
      <c r="T96" s="646"/>
      <c r="U96" s="646"/>
      <c r="V96" s="646"/>
      <c r="W96" s="646"/>
      <c r="X96" s="646"/>
      <c r="Y96" s="646"/>
      <c r="Z96" s="646"/>
      <c r="AA96" s="646"/>
      <c r="AB96" s="646"/>
      <c r="AC96" s="646"/>
      <c r="AD96" s="646"/>
      <c r="AE96" s="646"/>
      <c r="AF96" s="646"/>
      <c r="AG96" s="646"/>
      <c r="AH96" s="646"/>
      <c r="AI96" s="646"/>
      <c r="AJ96" s="646"/>
      <c r="AK96" s="646"/>
    </row>
    <row r="97" spans="1:37">
      <c r="A97" s="646"/>
      <c r="B97" s="646"/>
      <c r="C97" s="646"/>
      <c r="D97" s="646"/>
      <c r="E97" s="646"/>
      <c r="F97" s="646"/>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646"/>
      <c r="AK97" s="646"/>
    </row>
    <row r="98" spans="1:37">
      <c r="A98" s="646"/>
      <c r="B98" s="646"/>
      <c r="C98" s="646"/>
      <c r="D98" s="646"/>
      <c r="E98" s="646"/>
      <c r="F98" s="646"/>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646"/>
      <c r="AK98" s="646"/>
    </row>
    <row r="99" spans="1:37">
      <c r="A99" s="646"/>
      <c r="B99" s="646"/>
      <c r="C99" s="646"/>
      <c r="D99" s="646"/>
      <c r="E99" s="646"/>
      <c r="F99" s="646"/>
      <c r="G99" s="646"/>
      <c r="H99" s="646"/>
      <c r="I99" s="646"/>
      <c r="J99" s="646"/>
      <c r="K99" s="646"/>
      <c r="L99" s="646"/>
      <c r="M99" s="646"/>
      <c r="N99" s="646"/>
      <c r="O99" s="646"/>
      <c r="P99" s="646"/>
      <c r="Q99" s="646"/>
      <c r="R99" s="646"/>
      <c r="S99" s="646"/>
      <c r="T99" s="646"/>
      <c r="U99" s="646"/>
      <c r="V99" s="646"/>
      <c r="W99" s="646"/>
      <c r="X99" s="646"/>
      <c r="Y99" s="646"/>
      <c r="Z99" s="646"/>
      <c r="AA99" s="646"/>
      <c r="AB99" s="646"/>
      <c r="AC99" s="646"/>
      <c r="AD99" s="646"/>
      <c r="AE99" s="646"/>
      <c r="AF99" s="646"/>
      <c r="AG99" s="646"/>
      <c r="AH99" s="646"/>
      <c r="AI99" s="646"/>
      <c r="AJ99" s="646"/>
      <c r="AK99" s="646"/>
    </row>
    <row r="100" spans="1:37">
      <c r="A100" s="646"/>
      <c r="B100" s="646"/>
      <c r="C100" s="646"/>
      <c r="D100" s="646"/>
      <c r="E100" s="646"/>
      <c r="F100" s="646"/>
      <c r="G100" s="646"/>
      <c r="H100" s="646"/>
      <c r="I100" s="646"/>
      <c r="J100" s="646"/>
      <c r="K100" s="646"/>
      <c r="L100" s="646"/>
      <c r="M100" s="646"/>
      <c r="N100" s="646"/>
      <c r="O100" s="646"/>
      <c r="P100" s="646"/>
      <c r="Q100" s="646"/>
      <c r="R100" s="646"/>
      <c r="S100" s="646"/>
      <c r="T100" s="646"/>
      <c r="U100" s="646"/>
      <c r="V100" s="646"/>
      <c r="W100" s="646"/>
      <c r="X100" s="646"/>
      <c r="Y100" s="646"/>
      <c r="Z100" s="646"/>
      <c r="AA100" s="646"/>
      <c r="AB100" s="646"/>
      <c r="AC100" s="646"/>
      <c r="AD100" s="646"/>
      <c r="AE100" s="646"/>
      <c r="AF100" s="646"/>
      <c r="AG100" s="646"/>
      <c r="AH100" s="646"/>
      <c r="AI100" s="646"/>
      <c r="AJ100" s="646"/>
      <c r="AK100" s="646"/>
    </row>
    <row r="101" spans="1:37">
      <c r="A101" s="646"/>
      <c r="B101" s="646"/>
      <c r="C101" s="646"/>
      <c r="D101" s="646"/>
      <c r="E101" s="646"/>
      <c r="F101" s="646"/>
      <c r="G101" s="646"/>
      <c r="H101" s="646"/>
      <c r="I101" s="646"/>
      <c r="J101" s="646"/>
      <c r="K101" s="646"/>
      <c r="L101" s="646"/>
      <c r="M101" s="646"/>
      <c r="N101" s="646"/>
      <c r="O101" s="646"/>
      <c r="P101" s="646"/>
      <c r="Q101" s="646"/>
      <c r="R101" s="646"/>
      <c r="S101" s="646"/>
      <c r="T101" s="646"/>
      <c r="U101" s="646"/>
      <c r="V101" s="646"/>
      <c r="W101" s="646"/>
      <c r="X101" s="646"/>
      <c r="Y101" s="646"/>
      <c r="Z101" s="646"/>
      <c r="AA101" s="646"/>
      <c r="AB101" s="646"/>
      <c r="AC101" s="646"/>
      <c r="AD101" s="646"/>
      <c r="AE101" s="646"/>
      <c r="AF101" s="646"/>
      <c r="AG101" s="646"/>
      <c r="AH101" s="646"/>
      <c r="AI101" s="646"/>
      <c r="AJ101" s="646"/>
      <c r="AK101" s="646"/>
    </row>
    <row r="102" spans="1:37">
      <c r="A102" s="646"/>
      <c r="B102" s="646"/>
      <c r="C102" s="646"/>
      <c r="D102" s="646"/>
      <c r="E102" s="646"/>
      <c r="F102" s="646"/>
      <c r="G102" s="646"/>
      <c r="H102" s="646"/>
      <c r="I102" s="646"/>
      <c r="J102" s="646"/>
      <c r="K102" s="646"/>
      <c r="L102" s="646"/>
      <c r="M102" s="646"/>
      <c r="N102" s="646"/>
      <c r="O102" s="646"/>
      <c r="P102" s="646"/>
      <c r="Q102" s="646"/>
      <c r="R102" s="646"/>
      <c r="S102" s="646"/>
      <c r="T102" s="646"/>
      <c r="U102" s="646"/>
      <c r="V102" s="646"/>
      <c r="W102" s="646"/>
      <c r="X102" s="646"/>
      <c r="Y102" s="646"/>
      <c r="Z102" s="646"/>
      <c r="AA102" s="646"/>
      <c r="AB102" s="646"/>
      <c r="AC102" s="646"/>
      <c r="AD102" s="646"/>
      <c r="AE102" s="646"/>
      <c r="AF102" s="646"/>
      <c r="AG102" s="646"/>
      <c r="AH102" s="646"/>
      <c r="AI102" s="646"/>
      <c r="AJ102" s="646"/>
      <c r="AK102" s="646"/>
    </row>
    <row r="103" spans="1:37">
      <c r="A103" s="646"/>
      <c r="B103" s="646"/>
      <c r="C103" s="646"/>
      <c r="D103" s="646"/>
      <c r="E103" s="646"/>
      <c r="F103" s="646"/>
      <c r="G103" s="646"/>
      <c r="H103" s="646"/>
      <c r="I103" s="646"/>
      <c r="J103" s="646"/>
      <c r="K103" s="646"/>
      <c r="L103" s="646"/>
      <c r="M103" s="646"/>
      <c r="N103" s="646"/>
      <c r="O103" s="646"/>
      <c r="P103" s="646"/>
      <c r="Q103" s="646"/>
      <c r="R103" s="646"/>
      <c r="S103" s="646"/>
      <c r="T103" s="646"/>
      <c r="U103" s="646"/>
      <c r="V103" s="646"/>
      <c r="W103" s="646"/>
      <c r="X103" s="646"/>
      <c r="Y103" s="646"/>
      <c r="Z103" s="646"/>
      <c r="AA103" s="646"/>
      <c r="AB103" s="646"/>
      <c r="AC103" s="646"/>
      <c r="AD103" s="646"/>
      <c r="AE103" s="646"/>
      <c r="AF103" s="646"/>
      <c r="AG103" s="646"/>
      <c r="AH103" s="646"/>
      <c r="AI103" s="646"/>
      <c r="AJ103" s="646"/>
      <c r="AK103" s="646"/>
    </row>
    <row r="104" spans="1:37">
      <c r="A104" s="646"/>
      <c r="B104" s="646"/>
      <c r="C104" s="646"/>
      <c r="D104" s="646"/>
      <c r="E104" s="646"/>
      <c r="F104" s="646"/>
      <c r="G104" s="646"/>
      <c r="H104" s="646"/>
      <c r="I104" s="646"/>
      <c r="J104" s="646"/>
      <c r="K104" s="646"/>
      <c r="L104" s="646"/>
      <c r="M104" s="646"/>
      <c r="N104" s="646"/>
      <c r="O104" s="646"/>
      <c r="P104" s="646"/>
      <c r="Q104" s="646"/>
      <c r="R104" s="646"/>
      <c r="S104" s="646"/>
      <c r="T104" s="646"/>
      <c r="U104" s="646"/>
      <c r="V104" s="646"/>
      <c r="W104" s="646"/>
      <c r="X104" s="646"/>
      <c r="Y104" s="646"/>
      <c r="Z104" s="646"/>
      <c r="AA104" s="646"/>
      <c r="AB104" s="646"/>
      <c r="AC104" s="646"/>
      <c r="AD104" s="646"/>
      <c r="AE104" s="646"/>
      <c r="AF104" s="646"/>
      <c r="AG104" s="646"/>
      <c r="AH104" s="646"/>
      <c r="AI104" s="646"/>
      <c r="AJ104" s="646"/>
      <c r="AK104" s="646"/>
    </row>
    <row r="105" spans="1:37">
      <c r="A105" s="646"/>
      <c r="B105" s="646"/>
      <c r="C105" s="646"/>
      <c r="D105" s="646"/>
      <c r="E105" s="646"/>
      <c r="F105" s="646"/>
      <c r="G105" s="646"/>
      <c r="H105" s="646"/>
      <c r="I105" s="646"/>
      <c r="J105" s="646"/>
      <c r="K105" s="646"/>
      <c r="L105" s="646"/>
      <c r="M105" s="646"/>
      <c r="N105" s="646"/>
      <c r="O105" s="646"/>
      <c r="P105" s="646"/>
      <c r="Q105" s="646"/>
      <c r="R105" s="646"/>
      <c r="S105" s="646"/>
      <c r="T105" s="646"/>
      <c r="U105" s="646"/>
      <c r="V105" s="646"/>
      <c r="W105" s="646"/>
      <c r="X105" s="646"/>
      <c r="Y105" s="646"/>
      <c r="Z105" s="646"/>
      <c r="AA105" s="646"/>
      <c r="AB105" s="646"/>
      <c r="AC105" s="646"/>
      <c r="AD105" s="646"/>
      <c r="AE105" s="646"/>
      <c r="AF105" s="646"/>
      <c r="AG105" s="646"/>
      <c r="AH105" s="646"/>
      <c r="AI105" s="646"/>
      <c r="AJ105" s="646"/>
      <c r="AK105" s="646"/>
    </row>
    <row r="106" spans="1:37">
      <c r="A106" s="646"/>
      <c r="B106" s="646"/>
      <c r="C106" s="646"/>
      <c r="D106" s="646"/>
      <c r="E106" s="646"/>
      <c r="F106" s="646"/>
      <c r="G106" s="646"/>
      <c r="H106" s="646"/>
      <c r="I106" s="646"/>
      <c r="J106" s="646"/>
      <c r="K106" s="646"/>
      <c r="L106" s="646"/>
      <c r="M106" s="646"/>
      <c r="N106" s="646"/>
      <c r="O106" s="646"/>
      <c r="P106" s="646"/>
      <c r="Q106" s="646"/>
      <c r="R106" s="646"/>
      <c r="S106" s="646"/>
      <c r="T106" s="646"/>
      <c r="U106" s="646"/>
      <c r="V106" s="646"/>
      <c r="W106" s="646"/>
      <c r="X106" s="646"/>
      <c r="Y106" s="646"/>
      <c r="Z106" s="646"/>
      <c r="AA106" s="646"/>
      <c r="AB106" s="646"/>
      <c r="AC106" s="646"/>
      <c r="AD106" s="646"/>
      <c r="AE106" s="646"/>
      <c r="AF106" s="646"/>
      <c r="AG106" s="646"/>
      <c r="AH106" s="646"/>
      <c r="AI106" s="646"/>
      <c r="AJ106" s="646"/>
      <c r="AK106" s="646"/>
    </row>
    <row r="107" spans="1:37">
      <c r="A107" s="646"/>
      <c r="B107" s="646"/>
      <c r="C107" s="646"/>
      <c r="D107" s="646"/>
      <c r="E107" s="646"/>
      <c r="F107" s="646"/>
      <c r="G107" s="646"/>
      <c r="H107" s="646"/>
      <c r="I107" s="646"/>
      <c r="J107" s="646"/>
      <c r="K107" s="646"/>
      <c r="L107" s="646"/>
      <c r="M107" s="646"/>
      <c r="N107" s="646"/>
      <c r="O107" s="646"/>
      <c r="P107" s="646"/>
      <c r="Q107" s="646"/>
      <c r="R107" s="646"/>
      <c r="S107" s="646"/>
      <c r="T107" s="646"/>
      <c r="U107" s="646"/>
      <c r="V107" s="646"/>
      <c r="W107" s="646"/>
      <c r="X107" s="646"/>
      <c r="Y107" s="646"/>
      <c r="Z107" s="646"/>
      <c r="AA107" s="646"/>
      <c r="AB107" s="646"/>
      <c r="AC107" s="646"/>
      <c r="AD107" s="646"/>
      <c r="AE107" s="646"/>
      <c r="AF107" s="646"/>
      <c r="AG107" s="646"/>
      <c r="AH107" s="646"/>
      <c r="AI107" s="646"/>
      <c r="AJ107" s="646"/>
      <c r="AK107" s="646"/>
    </row>
    <row r="108" spans="1:37">
      <c r="A108" s="646"/>
      <c r="B108" s="646"/>
      <c r="C108" s="646"/>
      <c r="D108" s="646"/>
      <c r="E108" s="646"/>
      <c r="F108" s="646"/>
      <c r="G108" s="646"/>
      <c r="H108" s="646"/>
      <c r="I108" s="646"/>
      <c r="J108" s="646"/>
      <c r="K108" s="646"/>
      <c r="L108" s="646"/>
      <c r="M108" s="646"/>
      <c r="N108" s="646"/>
      <c r="O108" s="646"/>
      <c r="P108" s="646"/>
      <c r="Q108" s="646"/>
      <c r="R108" s="646"/>
      <c r="S108" s="646"/>
      <c r="T108" s="646"/>
      <c r="U108" s="646"/>
      <c r="V108" s="646"/>
      <c r="W108" s="646"/>
      <c r="X108" s="646"/>
      <c r="Y108" s="646"/>
      <c r="Z108" s="646"/>
      <c r="AA108" s="646"/>
      <c r="AB108" s="646"/>
      <c r="AC108" s="646"/>
      <c r="AD108" s="646"/>
      <c r="AE108" s="646"/>
      <c r="AF108" s="646"/>
      <c r="AG108" s="646"/>
      <c r="AH108" s="646"/>
      <c r="AI108" s="646"/>
      <c r="AJ108" s="646"/>
      <c r="AK108" s="646"/>
    </row>
    <row r="109" spans="1:37">
      <c r="A109" s="646"/>
      <c r="B109" s="646"/>
      <c r="C109" s="646"/>
      <c r="D109" s="646"/>
      <c r="E109" s="646"/>
      <c r="F109" s="646"/>
      <c r="G109" s="646"/>
      <c r="H109" s="646"/>
      <c r="I109" s="646"/>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6"/>
    </row>
    <row r="110" spans="1:37">
      <c r="A110" s="646"/>
      <c r="B110" s="646"/>
      <c r="C110" s="646"/>
      <c r="D110" s="646"/>
      <c r="E110" s="646"/>
      <c r="F110" s="646"/>
      <c r="G110" s="646"/>
      <c r="H110" s="646"/>
      <c r="I110" s="646"/>
      <c r="J110" s="646"/>
      <c r="K110" s="646"/>
      <c r="L110" s="646"/>
      <c r="M110" s="646"/>
      <c r="N110" s="646"/>
      <c r="O110" s="646"/>
      <c r="P110" s="646"/>
      <c r="Q110" s="646"/>
      <c r="R110" s="646"/>
      <c r="S110" s="646"/>
      <c r="T110" s="646"/>
      <c r="U110" s="646"/>
      <c r="V110" s="646"/>
      <c r="W110" s="646"/>
      <c r="X110" s="646"/>
      <c r="Y110" s="646"/>
      <c r="Z110" s="646"/>
      <c r="AA110" s="646"/>
      <c r="AB110" s="646"/>
      <c r="AC110" s="646"/>
      <c r="AD110" s="646"/>
      <c r="AE110" s="646"/>
      <c r="AF110" s="646"/>
      <c r="AG110" s="646"/>
      <c r="AH110" s="646"/>
      <c r="AI110" s="646"/>
      <c r="AJ110" s="646"/>
      <c r="AK110" s="646"/>
    </row>
    <row r="111" spans="1:37">
      <c r="A111" s="646"/>
      <c r="B111" s="646"/>
      <c r="C111" s="646"/>
      <c r="D111" s="646"/>
      <c r="E111" s="646"/>
      <c r="F111" s="646"/>
      <c r="G111" s="646"/>
      <c r="H111" s="646"/>
      <c r="I111" s="646"/>
      <c r="J111" s="646"/>
      <c r="K111" s="646"/>
      <c r="L111" s="646"/>
      <c r="M111" s="646"/>
      <c r="N111" s="646"/>
      <c r="O111" s="646"/>
      <c r="P111" s="646"/>
      <c r="Q111" s="646"/>
      <c r="R111" s="646"/>
      <c r="S111" s="646"/>
      <c r="T111" s="646"/>
      <c r="U111" s="646"/>
      <c r="V111" s="646"/>
      <c r="W111" s="646"/>
      <c r="X111" s="646"/>
      <c r="Y111" s="646"/>
      <c r="Z111" s="646"/>
      <c r="AA111" s="646"/>
      <c r="AB111" s="646"/>
      <c r="AC111" s="646"/>
      <c r="AD111" s="646"/>
      <c r="AE111" s="646"/>
      <c r="AF111" s="646"/>
      <c r="AG111" s="646"/>
      <c r="AH111" s="646"/>
      <c r="AI111" s="646"/>
      <c r="AJ111" s="646"/>
      <c r="AK111" s="646"/>
    </row>
    <row r="112" spans="1:37">
      <c r="A112" s="646"/>
      <c r="B112" s="646"/>
      <c r="C112" s="646"/>
      <c r="D112" s="646"/>
      <c r="E112" s="646"/>
      <c r="F112" s="646"/>
      <c r="G112" s="646"/>
      <c r="H112" s="646"/>
      <c r="I112" s="646"/>
      <c r="J112" s="646"/>
      <c r="K112" s="646"/>
      <c r="L112" s="646"/>
      <c r="M112" s="646"/>
      <c r="N112" s="646"/>
      <c r="O112" s="646"/>
      <c r="P112" s="646"/>
      <c r="Q112" s="646"/>
      <c r="R112" s="646"/>
      <c r="S112" s="646"/>
      <c r="T112" s="646"/>
      <c r="U112" s="646"/>
      <c r="V112" s="646"/>
      <c r="W112" s="646"/>
      <c r="X112" s="646"/>
      <c r="Y112" s="646"/>
      <c r="Z112" s="646"/>
      <c r="AA112" s="646"/>
      <c r="AB112" s="646"/>
      <c r="AC112" s="646"/>
      <c r="AD112" s="646"/>
      <c r="AE112" s="646"/>
      <c r="AF112" s="646"/>
      <c r="AG112" s="646"/>
      <c r="AH112" s="646"/>
      <c r="AI112" s="646"/>
      <c r="AJ112" s="646"/>
      <c r="AK112" s="646"/>
    </row>
    <row r="113" spans="1:37">
      <c r="A113" s="646"/>
      <c r="B113" s="646"/>
      <c r="C113" s="646"/>
      <c r="D113" s="646"/>
      <c r="E113" s="646"/>
      <c r="F113" s="646"/>
      <c r="G113" s="646"/>
      <c r="H113" s="646"/>
      <c r="I113" s="646"/>
      <c r="J113" s="646"/>
      <c r="K113" s="646"/>
      <c r="L113" s="646"/>
      <c r="M113" s="646"/>
      <c r="N113" s="646"/>
      <c r="O113" s="646"/>
      <c r="P113" s="646"/>
      <c r="Q113" s="646"/>
      <c r="R113" s="646"/>
      <c r="S113" s="646"/>
      <c r="T113" s="646"/>
      <c r="U113" s="646"/>
      <c r="V113" s="646"/>
      <c r="W113" s="646"/>
      <c r="X113" s="646"/>
      <c r="Y113" s="646"/>
      <c r="Z113" s="646"/>
      <c r="AA113" s="646"/>
      <c r="AB113" s="646"/>
      <c r="AC113" s="646"/>
      <c r="AD113" s="646"/>
      <c r="AE113" s="646"/>
      <c r="AF113" s="646"/>
      <c r="AG113" s="646"/>
      <c r="AH113" s="646"/>
      <c r="AI113" s="646"/>
      <c r="AJ113" s="646"/>
      <c r="AK113" s="646"/>
    </row>
    <row r="114" spans="1:37">
      <c r="A114" s="646"/>
      <c r="B114" s="646"/>
      <c r="C114" s="646"/>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46"/>
    </row>
    <row r="115" spans="1:37">
      <c r="A115" s="646"/>
      <c r="B115" s="646"/>
      <c r="C115" s="646"/>
      <c r="D115" s="646"/>
      <c r="E115" s="646"/>
      <c r="F115" s="646"/>
      <c r="G115" s="646"/>
      <c r="H115" s="646"/>
      <c r="I115" s="646"/>
      <c r="J115" s="646"/>
      <c r="K115" s="646"/>
      <c r="L115" s="646"/>
      <c r="M115" s="646"/>
      <c r="N115" s="646"/>
      <c r="O115" s="646"/>
      <c r="P115" s="646"/>
      <c r="Q115" s="646"/>
      <c r="R115" s="646"/>
      <c r="S115" s="646"/>
      <c r="T115" s="646"/>
      <c r="U115" s="646"/>
      <c r="V115" s="646"/>
      <c r="W115" s="646"/>
      <c r="X115" s="646"/>
      <c r="Y115" s="646"/>
      <c r="Z115" s="646"/>
      <c r="AA115" s="646"/>
      <c r="AB115" s="646"/>
      <c r="AC115" s="646"/>
      <c r="AD115" s="646"/>
      <c r="AE115" s="646"/>
      <c r="AF115" s="646"/>
      <c r="AG115" s="646"/>
      <c r="AH115" s="646"/>
      <c r="AI115" s="646"/>
      <c r="AJ115" s="646"/>
      <c r="AK115" s="646"/>
    </row>
    <row r="116" spans="1:37">
      <c r="A116" s="646"/>
      <c r="B116" s="646"/>
      <c r="C116" s="646"/>
      <c r="D116" s="646"/>
      <c r="E116" s="646"/>
      <c r="F116" s="646"/>
      <c r="G116" s="646"/>
      <c r="H116" s="646"/>
      <c r="I116" s="646"/>
      <c r="J116" s="646"/>
      <c r="K116" s="646"/>
      <c r="L116" s="646"/>
      <c r="M116" s="646"/>
      <c r="N116" s="646"/>
      <c r="O116" s="646"/>
      <c r="P116" s="646"/>
      <c r="Q116" s="646"/>
      <c r="R116" s="646"/>
      <c r="S116" s="646"/>
      <c r="T116" s="646"/>
      <c r="U116" s="646"/>
      <c r="V116" s="646"/>
      <c r="W116" s="646"/>
      <c r="X116" s="646"/>
      <c r="Y116" s="646"/>
      <c r="Z116" s="646"/>
      <c r="AA116" s="646"/>
      <c r="AB116" s="646"/>
      <c r="AC116" s="646"/>
      <c r="AD116" s="646"/>
      <c r="AE116" s="646"/>
      <c r="AF116" s="646"/>
      <c r="AG116" s="646"/>
      <c r="AH116" s="646"/>
      <c r="AI116" s="646"/>
      <c r="AJ116" s="646"/>
      <c r="AK116" s="646"/>
    </row>
    <row r="117" spans="1:37">
      <c r="A117" s="646"/>
      <c r="B117" s="646"/>
      <c r="C117" s="646"/>
      <c r="D117" s="646"/>
      <c r="E117" s="646"/>
      <c r="F117" s="646"/>
      <c r="G117" s="646"/>
      <c r="H117" s="646"/>
      <c r="I117" s="646"/>
      <c r="J117" s="646"/>
      <c r="K117" s="646"/>
      <c r="L117" s="646"/>
      <c r="M117" s="646"/>
      <c r="N117" s="646"/>
      <c r="O117" s="646"/>
      <c r="P117" s="646"/>
      <c r="Q117" s="646"/>
      <c r="R117" s="646"/>
      <c r="S117" s="646"/>
      <c r="T117" s="646"/>
      <c r="U117" s="646"/>
      <c r="V117" s="646"/>
      <c r="W117" s="646"/>
      <c r="X117" s="646"/>
      <c r="Y117" s="646"/>
      <c r="Z117" s="646"/>
      <c r="AA117" s="646"/>
      <c r="AB117" s="646"/>
      <c r="AC117" s="646"/>
      <c r="AD117" s="646"/>
      <c r="AE117" s="646"/>
      <c r="AF117" s="646"/>
      <c r="AG117" s="646"/>
      <c r="AH117" s="646"/>
      <c r="AI117" s="646"/>
      <c r="AJ117" s="646"/>
      <c r="AK117" s="646"/>
    </row>
    <row r="118" spans="1:37">
      <c r="A118" s="646"/>
      <c r="B118" s="646"/>
      <c r="C118" s="646"/>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6"/>
      <c r="AD118" s="646"/>
      <c r="AE118" s="646"/>
      <c r="AF118" s="646"/>
      <c r="AG118" s="646"/>
      <c r="AH118" s="646"/>
      <c r="AI118" s="646"/>
      <c r="AJ118" s="646"/>
      <c r="AK118" s="646"/>
    </row>
    <row r="119" spans="1:37">
      <c r="A119" s="646"/>
      <c r="B119" s="646"/>
      <c r="C119" s="646"/>
      <c r="D119" s="646"/>
      <c r="E119" s="646"/>
      <c r="F119" s="646"/>
      <c r="G119" s="646"/>
      <c r="H119" s="646"/>
      <c r="I119" s="646"/>
      <c r="J119" s="646"/>
      <c r="K119" s="646"/>
      <c r="L119" s="646"/>
      <c r="M119" s="646"/>
      <c r="N119" s="646"/>
      <c r="O119" s="646"/>
      <c r="P119" s="646"/>
      <c r="Q119" s="646"/>
      <c r="R119" s="646"/>
      <c r="S119" s="646"/>
      <c r="T119" s="646"/>
      <c r="U119" s="646"/>
      <c r="V119" s="646"/>
      <c r="W119" s="646"/>
      <c r="X119" s="646"/>
      <c r="Y119" s="646"/>
      <c r="Z119" s="646"/>
      <c r="AA119" s="646"/>
      <c r="AB119" s="646"/>
      <c r="AC119" s="646"/>
      <c r="AD119" s="646"/>
      <c r="AE119" s="646"/>
      <c r="AF119" s="646"/>
      <c r="AG119" s="646"/>
      <c r="AH119" s="646"/>
      <c r="AI119" s="646"/>
      <c r="AJ119" s="646"/>
      <c r="AK119" s="646"/>
    </row>
    <row r="120" spans="1:37">
      <c r="A120" s="646"/>
      <c r="B120" s="646"/>
      <c r="C120" s="646"/>
      <c r="D120" s="646"/>
      <c r="E120" s="646"/>
      <c r="F120" s="646"/>
      <c r="G120" s="646"/>
      <c r="H120" s="646"/>
      <c r="I120" s="646"/>
      <c r="J120" s="646"/>
      <c r="K120" s="646"/>
      <c r="L120" s="646"/>
      <c r="M120" s="646"/>
      <c r="N120" s="646"/>
      <c r="O120" s="646"/>
      <c r="P120" s="646"/>
      <c r="Q120" s="646"/>
      <c r="R120" s="646"/>
      <c r="S120" s="646"/>
      <c r="T120" s="646"/>
      <c r="U120" s="646"/>
      <c r="V120" s="646"/>
      <c r="W120" s="646"/>
      <c r="X120" s="646"/>
      <c r="Y120" s="646"/>
      <c r="Z120" s="646"/>
      <c r="AA120" s="646"/>
      <c r="AB120" s="646"/>
      <c r="AC120" s="646"/>
      <c r="AD120" s="646"/>
      <c r="AE120" s="646"/>
      <c r="AF120" s="646"/>
      <c r="AG120" s="646"/>
      <c r="AH120" s="646"/>
      <c r="AI120" s="646"/>
      <c r="AJ120" s="646"/>
      <c r="AK120" s="646"/>
    </row>
    <row r="121" spans="1:37">
      <c r="A121" s="646"/>
      <c r="B121" s="646"/>
      <c r="C121" s="646"/>
      <c r="D121" s="646"/>
      <c r="E121" s="646"/>
      <c r="F121" s="646"/>
      <c r="G121" s="646"/>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46"/>
    </row>
    <row r="122" spans="1:37">
      <c r="A122" s="646"/>
      <c r="B122" s="646"/>
      <c r="C122" s="646"/>
      <c r="D122" s="646"/>
      <c r="E122" s="646"/>
      <c r="F122" s="646"/>
      <c r="G122" s="646"/>
      <c r="H122" s="646"/>
      <c r="I122" s="646"/>
      <c r="J122" s="646"/>
      <c r="K122" s="646"/>
      <c r="L122" s="646"/>
      <c r="M122" s="646"/>
      <c r="N122" s="646"/>
      <c r="O122" s="646"/>
      <c r="P122" s="646"/>
      <c r="Q122" s="646"/>
      <c r="R122" s="646"/>
      <c r="S122" s="646"/>
      <c r="T122" s="646"/>
      <c r="U122" s="646"/>
      <c r="V122" s="646"/>
      <c r="W122" s="646"/>
      <c r="X122" s="646"/>
      <c r="Y122" s="646"/>
      <c r="Z122" s="646"/>
      <c r="AA122" s="646"/>
      <c r="AB122" s="646"/>
      <c r="AC122" s="646"/>
      <c r="AD122" s="646"/>
      <c r="AE122" s="646"/>
      <c r="AF122" s="646"/>
      <c r="AG122" s="646"/>
      <c r="AH122" s="646"/>
      <c r="AI122" s="646"/>
      <c r="AJ122" s="646"/>
      <c r="AK122" s="646"/>
    </row>
    <row r="123" spans="1:37">
      <c r="A123" s="646"/>
      <c r="B123" s="646"/>
      <c r="C123" s="646"/>
      <c r="D123" s="646"/>
      <c r="E123" s="646"/>
      <c r="F123" s="646"/>
      <c r="G123" s="646"/>
      <c r="H123" s="646"/>
      <c r="I123" s="646"/>
      <c r="J123" s="646"/>
      <c r="K123" s="646"/>
      <c r="L123" s="646"/>
      <c r="M123" s="646"/>
      <c r="N123" s="646"/>
      <c r="O123" s="646"/>
      <c r="P123" s="646"/>
      <c r="Q123" s="646"/>
      <c r="R123" s="646"/>
      <c r="S123" s="646"/>
      <c r="T123" s="646"/>
      <c r="U123" s="646"/>
      <c r="V123" s="646"/>
      <c r="W123" s="646"/>
      <c r="X123" s="646"/>
      <c r="Y123" s="646"/>
      <c r="Z123" s="646"/>
      <c r="AA123" s="646"/>
      <c r="AB123" s="646"/>
      <c r="AC123" s="646"/>
      <c r="AD123" s="646"/>
      <c r="AE123" s="646"/>
      <c r="AF123" s="646"/>
      <c r="AG123" s="646"/>
      <c r="AH123" s="646"/>
      <c r="AI123" s="646"/>
      <c r="AJ123" s="646"/>
      <c r="AK123" s="646"/>
    </row>
    <row r="124" spans="1:37">
      <c r="A124" s="646"/>
      <c r="B124" s="646"/>
      <c r="C124" s="646"/>
      <c r="D124" s="646"/>
      <c r="E124" s="646"/>
      <c r="F124" s="646"/>
      <c r="G124" s="646"/>
      <c r="H124" s="646"/>
      <c r="I124" s="646"/>
      <c r="J124" s="646"/>
      <c r="K124" s="646"/>
      <c r="L124" s="646"/>
      <c r="M124" s="646"/>
      <c r="N124" s="646"/>
      <c r="O124" s="646"/>
      <c r="P124" s="646"/>
      <c r="Q124" s="646"/>
      <c r="R124" s="646"/>
      <c r="S124" s="646"/>
      <c r="T124" s="646"/>
      <c r="U124" s="646"/>
      <c r="V124" s="646"/>
      <c r="W124" s="646"/>
      <c r="X124" s="646"/>
      <c r="Y124" s="646"/>
      <c r="Z124" s="646"/>
      <c r="AA124" s="646"/>
      <c r="AB124" s="646"/>
      <c r="AC124" s="646"/>
      <c r="AD124" s="646"/>
      <c r="AE124" s="646"/>
      <c r="AF124" s="646"/>
      <c r="AG124" s="646"/>
      <c r="AH124" s="646"/>
      <c r="AI124" s="646"/>
      <c r="AJ124" s="646"/>
      <c r="AK124" s="646"/>
    </row>
    <row r="125" spans="1:37">
      <c r="A125" s="646"/>
      <c r="B125" s="646"/>
      <c r="C125" s="646"/>
      <c r="D125" s="646"/>
      <c r="E125" s="646"/>
      <c r="F125" s="646"/>
      <c r="G125" s="646"/>
      <c r="H125" s="646"/>
      <c r="I125" s="646"/>
      <c r="J125" s="646"/>
      <c r="K125" s="646"/>
      <c r="L125" s="646"/>
      <c r="M125" s="646"/>
      <c r="N125" s="646"/>
      <c r="O125" s="646"/>
      <c r="P125" s="646"/>
      <c r="Q125" s="646"/>
      <c r="R125" s="646"/>
      <c r="S125" s="646"/>
      <c r="T125" s="646"/>
      <c r="U125" s="646"/>
      <c r="V125" s="646"/>
      <c r="W125" s="646"/>
      <c r="X125" s="646"/>
      <c r="Y125" s="646"/>
      <c r="Z125" s="646"/>
      <c r="AA125" s="646"/>
      <c r="AB125" s="646"/>
      <c r="AC125" s="646"/>
      <c r="AD125" s="646"/>
      <c r="AE125" s="646"/>
      <c r="AF125" s="646"/>
      <c r="AG125" s="646"/>
      <c r="AH125" s="646"/>
      <c r="AI125" s="646"/>
      <c r="AJ125" s="646"/>
      <c r="AK125" s="646"/>
    </row>
    <row r="126" spans="1:37">
      <c r="A126" s="646"/>
      <c r="B126" s="646"/>
      <c r="C126" s="646"/>
      <c r="D126" s="646"/>
      <c r="E126" s="646"/>
      <c r="F126" s="646"/>
      <c r="G126" s="646"/>
      <c r="H126" s="646"/>
      <c r="I126" s="646"/>
      <c r="J126" s="646"/>
      <c r="K126" s="646"/>
      <c r="L126" s="646"/>
      <c r="M126" s="646"/>
      <c r="N126" s="646"/>
      <c r="O126" s="646"/>
      <c r="P126" s="646"/>
      <c r="Q126" s="646"/>
      <c r="R126" s="646"/>
      <c r="S126" s="646"/>
      <c r="T126" s="646"/>
      <c r="U126" s="646"/>
      <c r="V126" s="646"/>
      <c r="W126" s="646"/>
      <c r="X126" s="646"/>
      <c r="Y126" s="646"/>
      <c r="Z126" s="646"/>
      <c r="AA126" s="646"/>
      <c r="AB126" s="646"/>
      <c r="AC126" s="646"/>
      <c r="AD126" s="646"/>
      <c r="AE126" s="646"/>
      <c r="AF126" s="646"/>
      <c r="AG126" s="646"/>
      <c r="AH126" s="646"/>
      <c r="AI126" s="646"/>
      <c r="AJ126" s="646"/>
      <c r="AK126" s="646"/>
    </row>
    <row r="127" spans="1:37">
      <c r="A127" s="646"/>
      <c r="B127" s="646"/>
      <c r="C127" s="646"/>
      <c r="D127" s="646"/>
      <c r="E127" s="646"/>
      <c r="F127" s="646"/>
      <c r="G127" s="646"/>
      <c r="H127" s="646"/>
      <c r="I127" s="646"/>
      <c r="J127" s="646"/>
      <c r="K127" s="646"/>
      <c r="L127" s="646"/>
      <c r="M127" s="646"/>
      <c r="N127" s="646"/>
      <c r="O127" s="646"/>
      <c r="P127" s="646"/>
      <c r="Q127" s="646"/>
      <c r="R127" s="646"/>
      <c r="S127" s="646"/>
      <c r="T127" s="646"/>
      <c r="U127" s="646"/>
      <c r="V127" s="646"/>
      <c r="W127" s="646"/>
      <c r="X127" s="646"/>
      <c r="Y127" s="646"/>
      <c r="Z127" s="646"/>
      <c r="AA127" s="646"/>
      <c r="AB127" s="646"/>
      <c r="AC127" s="646"/>
      <c r="AD127" s="646"/>
      <c r="AE127" s="646"/>
      <c r="AF127" s="646"/>
      <c r="AG127" s="646"/>
      <c r="AH127" s="646"/>
      <c r="AI127" s="646"/>
      <c r="AJ127" s="646"/>
      <c r="AK127" s="646"/>
    </row>
    <row r="128" spans="1:37">
      <c r="A128" s="646"/>
      <c r="B128" s="646"/>
      <c r="C128" s="646"/>
      <c r="D128" s="646"/>
      <c r="E128" s="646"/>
      <c r="F128" s="646"/>
      <c r="G128" s="646"/>
      <c r="H128" s="646"/>
      <c r="I128" s="646"/>
      <c r="J128" s="646"/>
      <c r="K128" s="646"/>
      <c r="L128" s="646"/>
      <c r="M128" s="646"/>
      <c r="N128" s="646"/>
      <c r="O128" s="646"/>
      <c r="P128" s="646"/>
      <c r="Q128" s="646"/>
      <c r="R128" s="646"/>
      <c r="S128" s="646"/>
      <c r="T128" s="646"/>
      <c r="U128" s="646"/>
      <c r="V128" s="646"/>
      <c r="W128" s="646"/>
      <c r="X128" s="646"/>
      <c r="Y128" s="646"/>
      <c r="Z128" s="646"/>
      <c r="AA128" s="646"/>
      <c r="AB128" s="646"/>
      <c r="AC128" s="646"/>
      <c r="AD128" s="646"/>
      <c r="AE128" s="646"/>
      <c r="AF128" s="646"/>
      <c r="AG128" s="646"/>
      <c r="AH128" s="646"/>
      <c r="AI128" s="646"/>
      <c r="AJ128" s="646"/>
      <c r="AK128" s="646"/>
    </row>
    <row r="129" spans="1:37">
      <c r="A129" s="646"/>
      <c r="B129" s="646"/>
      <c r="C129" s="646"/>
      <c r="D129" s="646"/>
      <c r="E129" s="646"/>
      <c r="F129" s="646"/>
      <c r="G129" s="646"/>
      <c r="H129" s="646"/>
      <c r="I129" s="646"/>
      <c r="J129" s="646"/>
      <c r="K129" s="646"/>
      <c r="L129" s="646"/>
      <c r="M129" s="646"/>
      <c r="N129" s="646"/>
      <c r="O129" s="646"/>
      <c r="P129" s="646"/>
      <c r="Q129" s="646"/>
      <c r="R129" s="646"/>
      <c r="S129" s="646"/>
      <c r="T129" s="646"/>
      <c r="U129" s="646"/>
      <c r="V129" s="646"/>
      <c r="W129" s="646"/>
      <c r="X129" s="646"/>
      <c r="Y129" s="646"/>
      <c r="Z129" s="646"/>
      <c r="AA129" s="646"/>
      <c r="AB129" s="646"/>
      <c r="AC129" s="646"/>
      <c r="AD129" s="646"/>
      <c r="AE129" s="646"/>
      <c r="AF129" s="646"/>
      <c r="AG129" s="646"/>
      <c r="AH129" s="646"/>
      <c r="AI129" s="646"/>
      <c r="AJ129" s="646"/>
      <c r="AK129" s="646"/>
    </row>
    <row r="130" spans="1:37">
      <c r="A130" s="646"/>
      <c r="B130" s="646"/>
      <c r="C130" s="646"/>
      <c r="D130" s="646"/>
      <c r="E130" s="646"/>
      <c r="F130" s="646"/>
      <c r="G130" s="646"/>
      <c r="H130" s="646"/>
      <c r="I130" s="646"/>
      <c r="J130" s="646"/>
      <c r="K130" s="646"/>
      <c r="L130" s="646"/>
      <c r="M130" s="646"/>
      <c r="N130" s="646"/>
      <c r="O130" s="646"/>
      <c r="P130" s="646"/>
      <c r="Q130" s="646"/>
      <c r="R130" s="646"/>
      <c r="S130" s="646"/>
      <c r="T130" s="646"/>
      <c r="U130" s="646"/>
      <c r="V130" s="646"/>
      <c r="W130" s="646"/>
      <c r="X130" s="646"/>
      <c r="Y130" s="646"/>
      <c r="Z130" s="646"/>
      <c r="AA130" s="646"/>
      <c r="AB130" s="646"/>
      <c r="AC130" s="646"/>
      <c r="AD130" s="646"/>
      <c r="AE130" s="646"/>
      <c r="AF130" s="646"/>
      <c r="AG130" s="646"/>
      <c r="AH130" s="646"/>
      <c r="AI130" s="646"/>
      <c r="AJ130" s="646"/>
      <c r="AK130" s="646"/>
    </row>
    <row r="131" spans="1:37">
      <c r="A131" s="646"/>
      <c r="B131" s="646"/>
      <c r="C131" s="646"/>
      <c r="D131" s="646"/>
      <c r="E131" s="646"/>
      <c r="F131" s="646"/>
      <c r="G131" s="646"/>
      <c r="H131" s="646"/>
      <c r="I131" s="646"/>
      <c r="J131" s="646"/>
      <c r="K131" s="646"/>
      <c r="L131" s="646"/>
      <c r="M131" s="646"/>
      <c r="N131" s="646"/>
      <c r="O131" s="646"/>
      <c r="P131" s="646"/>
      <c r="Q131" s="646"/>
      <c r="R131" s="646"/>
      <c r="S131" s="646"/>
      <c r="T131" s="646"/>
      <c r="U131" s="646"/>
      <c r="V131" s="646"/>
      <c r="W131" s="646"/>
      <c r="X131" s="646"/>
      <c r="Y131" s="646"/>
      <c r="Z131" s="646"/>
      <c r="AA131" s="646"/>
      <c r="AB131" s="646"/>
      <c r="AC131" s="646"/>
      <c r="AD131" s="646"/>
      <c r="AE131" s="646"/>
      <c r="AF131" s="646"/>
      <c r="AG131" s="646"/>
      <c r="AH131" s="646"/>
      <c r="AI131" s="646"/>
      <c r="AJ131" s="646"/>
      <c r="AK131" s="646"/>
    </row>
    <row r="132" spans="1:37">
      <c r="A132" s="646"/>
      <c r="B132" s="646"/>
      <c r="C132" s="646"/>
      <c r="D132" s="646"/>
      <c r="E132" s="646"/>
      <c r="F132" s="646"/>
      <c r="G132" s="646"/>
      <c r="H132" s="646"/>
      <c r="I132" s="646"/>
      <c r="J132" s="646"/>
      <c r="K132" s="646"/>
      <c r="L132" s="646"/>
      <c r="M132" s="646"/>
      <c r="N132" s="646"/>
      <c r="O132" s="646"/>
      <c r="P132" s="646"/>
      <c r="Q132" s="646"/>
      <c r="R132" s="646"/>
      <c r="S132" s="646"/>
      <c r="T132" s="646"/>
      <c r="U132" s="646"/>
      <c r="V132" s="646"/>
      <c r="W132" s="646"/>
      <c r="X132" s="646"/>
      <c r="Y132" s="646"/>
      <c r="Z132" s="646"/>
      <c r="AA132" s="646"/>
      <c r="AB132" s="646"/>
      <c r="AC132" s="646"/>
      <c r="AD132" s="646"/>
      <c r="AE132" s="646"/>
      <c r="AF132" s="646"/>
      <c r="AG132" s="646"/>
      <c r="AH132" s="646"/>
      <c r="AI132" s="646"/>
      <c r="AJ132" s="646"/>
      <c r="AK132" s="646"/>
    </row>
    <row r="133" spans="1:37">
      <c r="A133" s="646"/>
      <c r="B133" s="646"/>
      <c r="C133" s="646"/>
      <c r="D133" s="646"/>
      <c r="E133" s="646"/>
      <c r="F133" s="646"/>
      <c r="G133" s="646"/>
      <c r="H133" s="646"/>
      <c r="I133" s="646"/>
      <c r="J133" s="646"/>
      <c r="K133" s="646"/>
      <c r="L133" s="646"/>
      <c r="M133" s="646"/>
      <c r="N133" s="646"/>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6"/>
      <c r="AK133" s="646"/>
    </row>
    <row r="134" spans="1:37">
      <c r="A134" s="646"/>
      <c r="B134" s="646"/>
      <c r="C134" s="646"/>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6"/>
      <c r="AD134" s="646"/>
      <c r="AE134" s="646"/>
      <c r="AF134" s="646"/>
      <c r="AG134" s="646"/>
      <c r="AH134" s="646"/>
      <c r="AI134" s="646"/>
      <c r="AJ134" s="646"/>
      <c r="AK134" s="646"/>
    </row>
    <row r="135" spans="1:37">
      <c r="A135" s="646"/>
      <c r="B135" s="646"/>
      <c r="C135" s="646"/>
      <c r="D135" s="646"/>
      <c r="E135" s="646"/>
      <c r="F135" s="646"/>
      <c r="G135" s="646"/>
      <c r="H135" s="646"/>
      <c r="I135" s="646"/>
      <c r="J135" s="646"/>
      <c r="K135" s="646"/>
      <c r="L135" s="646"/>
      <c r="M135" s="646"/>
      <c r="N135" s="646"/>
      <c r="O135" s="646"/>
      <c r="P135" s="646"/>
      <c r="Q135" s="646"/>
      <c r="R135" s="646"/>
      <c r="S135" s="646"/>
      <c r="T135" s="646"/>
      <c r="U135" s="646"/>
      <c r="V135" s="646"/>
      <c r="W135" s="646"/>
      <c r="X135" s="646"/>
      <c r="Y135" s="646"/>
      <c r="Z135" s="646"/>
      <c r="AA135" s="646"/>
      <c r="AB135" s="646"/>
      <c r="AC135" s="646"/>
      <c r="AD135" s="646"/>
      <c r="AE135" s="646"/>
      <c r="AF135" s="646"/>
      <c r="AG135" s="646"/>
      <c r="AH135" s="646"/>
      <c r="AI135" s="646"/>
      <c r="AJ135" s="646"/>
      <c r="AK135" s="646"/>
    </row>
    <row r="136" spans="1:37">
      <c r="A136" s="646"/>
      <c r="B136" s="646"/>
      <c r="C136" s="646"/>
      <c r="D136" s="646"/>
      <c r="E136" s="646"/>
      <c r="F136" s="646"/>
      <c r="G136" s="646"/>
      <c r="H136" s="646"/>
      <c r="I136" s="646"/>
      <c r="J136" s="646"/>
      <c r="K136" s="646"/>
      <c r="L136" s="646"/>
      <c r="M136" s="646"/>
      <c r="N136" s="646"/>
      <c r="O136" s="646"/>
      <c r="P136" s="646"/>
      <c r="Q136" s="646"/>
      <c r="R136" s="646"/>
      <c r="S136" s="646"/>
      <c r="T136" s="646"/>
      <c r="U136" s="646"/>
      <c r="V136" s="646"/>
      <c r="W136" s="646"/>
      <c r="X136" s="646"/>
      <c r="Y136" s="646"/>
      <c r="Z136" s="646"/>
      <c r="AA136" s="646"/>
      <c r="AB136" s="646"/>
      <c r="AC136" s="646"/>
      <c r="AD136" s="646"/>
      <c r="AE136" s="646"/>
      <c r="AF136" s="646"/>
      <c r="AG136" s="646"/>
      <c r="AH136" s="646"/>
      <c r="AI136" s="646"/>
      <c r="AJ136" s="646"/>
      <c r="AK136" s="646"/>
    </row>
    <row r="137" spans="1:37">
      <c r="A137" s="646"/>
      <c r="B137" s="646"/>
      <c r="C137" s="646"/>
      <c r="D137" s="646"/>
      <c r="E137" s="646"/>
      <c r="F137" s="646"/>
      <c r="G137" s="646"/>
      <c r="H137" s="646"/>
      <c r="I137" s="646"/>
      <c r="J137" s="646"/>
      <c r="K137" s="646"/>
      <c r="L137" s="646"/>
      <c r="M137" s="646"/>
      <c r="N137" s="646"/>
      <c r="O137" s="646"/>
      <c r="P137" s="646"/>
      <c r="Q137" s="646"/>
      <c r="R137" s="646"/>
      <c r="S137" s="646"/>
      <c r="T137" s="646"/>
      <c r="U137" s="646"/>
      <c r="V137" s="646"/>
      <c r="W137" s="646"/>
      <c r="X137" s="646"/>
      <c r="Y137" s="646"/>
      <c r="Z137" s="646"/>
      <c r="AA137" s="646"/>
      <c r="AB137" s="646"/>
      <c r="AC137" s="646"/>
      <c r="AD137" s="646"/>
      <c r="AE137" s="646"/>
      <c r="AF137" s="646"/>
      <c r="AG137" s="646"/>
      <c r="AH137" s="646"/>
      <c r="AI137" s="646"/>
      <c r="AJ137" s="646"/>
      <c r="AK137" s="646"/>
    </row>
    <row r="138" spans="1:37">
      <c r="A138" s="646"/>
      <c r="B138" s="646"/>
      <c r="C138" s="646"/>
      <c r="D138" s="646"/>
      <c r="E138" s="646"/>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646"/>
      <c r="AK138" s="646"/>
    </row>
    <row r="139" spans="1:37">
      <c r="A139" s="646"/>
      <c r="B139" s="646"/>
      <c r="C139" s="646"/>
      <c r="D139" s="646"/>
      <c r="E139" s="646"/>
      <c r="F139" s="646"/>
      <c r="G139" s="646"/>
      <c r="H139" s="646"/>
      <c r="I139" s="646"/>
      <c r="J139" s="646"/>
      <c r="K139" s="646"/>
      <c r="L139" s="646"/>
      <c r="M139" s="646"/>
      <c r="N139" s="646"/>
      <c r="O139" s="646"/>
      <c r="P139" s="646"/>
      <c r="Q139" s="646"/>
      <c r="R139" s="646"/>
      <c r="S139" s="646"/>
      <c r="T139" s="646"/>
      <c r="U139" s="646"/>
      <c r="V139" s="646"/>
      <c r="W139" s="646"/>
      <c r="X139" s="646"/>
      <c r="Y139" s="646"/>
      <c r="Z139" s="646"/>
      <c r="AA139" s="646"/>
      <c r="AB139" s="646"/>
      <c r="AC139" s="646"/>
      <c r="AD139" s="646"/>
      <c r="AE139" s="646"/>
      <c r="AF139" s="646"/>
      <c r="AG139" s="646"/>
      <c r="AH139" s="646"/>
      <c r="AI139" s="646"/>
      <c r="AJ139" s="646"/>
      <c r="AK139" s="646"/>
    </row>
    <row r="140" spans="1:37">
      <c r="A140" s="646"/>
      <c r="B140" s="646"/>
      <c r="C140" s="646"/>
      <c r="D140" s="646"/>
      <c r="E140" s="646"/>
      <c r="F140" s="646"/>
      <c r="G140" s="646"/>
      <c r="H140" s="646"/>
      <c r="I140" s="646"/>
      <c r="J140" s="646"/>
      <c r="K140" s="646"/>
      <c r="L140" s="646"/>
      <c r="M140" s="646"/>
      <c r="N140" s="646"/>
      <c r="O140" s="646"/>
      <c r="P140" s="646"/>
      <c r="Q140" s="646"/>
      <c r="R140" s="646"/>
      <c r="S140" s="646"/>
      <c r="T140" s="646"/>
      <c r="U140" s="646"/>
      <c r="V140" s="646"/>
      <c r="W140" s="646"/>
      <c r="X140" s="646"/>
      <c r="Y140" s="646"/>
      <c r="Z140" s="646"/>
      <c r="AA140" s="646"/>
      <c r="AB140" s="646"/>
      <c r="AC140" s="646"/>
      <c r="AD140" s="646"/>
      <c r="AE140" s="646"/>
      <c r="AF140" s="646"/>
      <c r="AG140" s="646"/>
      <c r="AH140" s="646"/>
      <c r="AI140" s="646"/>
      <c r="AJ140" s="646"/>
      <c r="AK140" s="646"/>
    </row>
    <row r="141" spans="1:37">
      <c r="A141" s="646"/>
      <c r="B141" s="646"/>
      <c r="C141" s="646"/>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6"/>
      <c r="AE141" s="646"/>
      <c r="AF141" s="646"/>
      <c r="AG141" s="646"/>
      <c r="AH141" s="646"/>
      <c r="AI141" s="646"/>
      <c r="AJ141" s="646"/>
      <c r="AK141" s="646"/>
    </row>
    <row r="142" spans="1:37">
      <c r="A142" s="646"/>
      <c r="B142" s="646"/>
      <c r="C142" s="646"/>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6"/>
      <c r="AE142" s="646"/>
      <c r="AF142" s="646"/>
      <c r="AG142" s="646"/>
      <c r="AH142" s="646"/>
      <c r="AI142" s="646"/>
      <c r="AJ142" s="646"/>
      <c r="AK142" s="646"/>
    </row>
    <row r="143" spans="1:37">
      <c r="A143" s="646"/>
      <c r="B143" s="646"/>
      <c r="C143" s="646"/>
      <c r="D143" s="646"/>
      <c r="E143" s="646"/>
      <c r="F143" s="646"/>
      <c r="G143" s="646"/>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46"/>
    </row>
    <row r="144" spans="1:37">
      <c r="A144" s="646"/>
      <c r="B144" s="646"/>
      <c r="C144" s="646"/>
      <c r="D144" s="646"/>
      <c r="E144" s="646"/>
      <c r="F144" s="646"/>
      <c r="G144" s="646"/>
      <c r="H144" s="646"/>
      <c r="I144" s="646"/>
      <c r="J144" s="646"/>
      <c r="K144" s="646"/>
      <c r="L144" s="646"/>
      <c r="M144" s="646"/>
      <c r="N144" s="646"/>
      <c r="O144" s="646"/>
      <c r="P144" s="646"/>
      <c r="Q144" s="646"/>
      <c r="R144" s="646"/>
      <c r="S144" s="646"/>
      <c r="T144" s="646"/>
      <c r="U144" s="646"/>
      <c r="V144" s="646"/>
      <c r="W144" s="646"/>
      <c r="X144" s="646"/>
      <c r="Y144" s="646"/>
      <c r="Z144" s="646"/>
      <c r="AA144" s="646"/>
      <c r="AB144" s="646"/>
      <c r="AC144" s="646"/>
      <c r="AD144" s="646"/>
      <c r="AE144" s="646"/>
      <c r="AF144" s="646"/>
      <c r="AG144" s="646"/>
      <c r="AH144" s="646"/>
      <c r="AI144" s="646"/>
      <c r="AJ144" s="646"/>
      <c r="AK144" s="646"/>
    </row>
    <row r="145" spans="1:37">
      <c r="A145" s="646"/>
      <c r="B145" s="646"/>
      <c r="C145" s="646"/>
      <c r="D145" s="646"/>
      <c r="E145" s="646"/>
      <c r="F145" s="646"/>
      <c r="G145" s="646"/>
      <c r="H145" s="646"/>
      <c r="I145" s="646"/>
      <c r="J145" s="646"/>
      <c r="K145" s="646"/>
      <c r="L145" s="646"/>
      <c r="M145" s="646"/>
      <c r="N145" s="646"/>
      <c r="O145" s="646"/>
      <c r="P145" s="646"/>
      <c r="Q145" s="646"/>
      <c r="R145" s="646"/>
      <c r="S145" s="646"/>
      <c r="T145" s="646"/>
      <c r="U145" s="646"/>
      <c r="V145" s="646"/>
      <c r="W145" s="646"/>
      <c r="X145" s="646"/>
      <c r="Y145" s="646"/>
      <c r="Z145" s="646"/>
      <c r="AA145" s="646"/>
      <c r="AB145" s="646"/>
      <c r="AC145" s="646"/>
      <c r="AD145" s="646"/>
      <c r="AE145" s="646"/>
      <c r="AF145" s="646"/>
      <c r="AG145" s="646"/>
      <c r="AH145" s="646"/>
      <c r="AI145" s="646"/>
      <c r="AJ145" s="646"/>
      <c r="AK145" s="646"/>
    </row>
    <row r="146" spans="1:37">
      <c r="A146" s="646"/>
      <c r="B146" s="646"/>
      <c r="C146" s="646"/>
      <c r="D146" s="646"/>
      <c r="E146" s="646"/>
      <c r="F146" s="646"/>
      <c r="G146" s="646"/>
      <c r="H146" s="646"/>
      <c r="I146" s="646"/>
      <c r="J146" s="646"/>
      <c r="K146" s="646"/>
      <c r="L146" s="646"/>
      <c r="M146" s="646"/>
      <c r="N146" s="646"/>
      <c r="O146" s="646"/>
      <c r="P146" s="646"/>
      <c r="Q146" s="646"/>
      <c r="R146" s="646"/>
      <c r="S146" s="646"/>
      <c r="T146" s="646"/>
      <c r="U146" s="646"/>
      <c r="V146" s="646"/>
      <c r="W146" s="646"/>
      <c r="X146" s="646"/>
      <c r="Y146" s="646"/>
      <c r="Z146" s="646"/>
      <c r="AA146" s="646"/>
      <c r="AB146" s="646"/>
      <c r="AC146" s="646"/>
      <c r="AD146" s="646"/>
      <c r="AE146" s="646"/>
      <c r="AF146" s="646"/>
      <c r="AG146" s="646"/>
      <c r="AH146" s="646"/>
      <c r="AI146" s="646"/>
      <c r="AJ146" s="646"/>
      <c r="AK146" s="646"/>
    </row>
    <row r="147" spans="1:37">
      <c r="A147" s="646"/>
      <c r="B147" s="646"/>
      <c r="C147" s="646"/>
      <c r="D147" s="646"/>
      <c r="E147" s="646"/>
      <c r="F147" s="646"/>
      <c r="G147" s="646"/>
      <c r="H147" s="646"/>
      <c r="I147" s="646"/>
      <c r="J147" s="646"/>
      <c r="K147" s="646"/>
      <c r="L147" s="646"/>
      <c r="M147" s="646"/>
      <c r="N147" s="646"/>
      <c r="O147" s="646"/>
      <c r="P147" s="646"/>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646"/>
    </row>
    <row r="148" spans="1:37">
      <c r="A148" s="646"/>
      <c r="B148" s="646"/>
      <c r="C148" s="646"/>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646"/>
      <c r="Z148" s="646"/>
      <c r="AA148" s="646"/>
      <c r="AB148" s="646"/>
      <c r="AC148" s="646"/>
      <c r="AD148" s="646"/>
      <c r="AE148" s="646"/>
      <c r="AF148" s="646"/>
      <c r="AG148" s="646"/>
      <c r="AH148" s="646"/>
      <c r="AI148" s="646"/>
      <c r="AJ148" s="646"/>
      <c r="AK148" s="646"/>
    </row>
    <row r="149" spans="1:37">
      <c r="A149" s="646"/>
      <c r="B149" s="646"/>
      <c r="C149" s="646"/>
      <c r="D149" s="646"/>
      <c r="E149" s="646"/>
      <c r="F149" s="646"/>
      <c r="G149" s="646"/>
      <c r="H149" s="646"/>
      <c r="I149" s="646"/>
      <c r="J149" s="646"/>
      <c r="K149" s="646"/>
      <c r="L149" s="646"/>
      <c r="M149" s="646"/>
      <c r="N149" s="646"/>
      <c r="O149" s="646"/>
      <c r="P149" s="646"/>
      <c r="Q149" s="646"/>
      <c r="R149" s="646"/>
      <c r="S149" s="646"/>
      <c r="T149" s="646"/>
      <c r="U149" s="646"/>
      <c r="V149" s="646"/>
      <c r="W149" s="646"/>
      <c r="X149" s="646"/>
      <c r="Y149" s="646"/>
      <c r="Z149" s="646"/>
      <c r="AA149" s="646"/>
      <c r="AB149" s="646"/>
      <c r="AC149" s="646"/>
      <c r="AD149" s="646"/>
      <c r="AE149" s="646"/>
      <c r="AF149" s="646"/>
      <c r="AG149" s="646"/>
      <c r="AH149" s="646"/>
      <c r="AI149" s="646"/>
      <c r="AJ149" s="646"/>
      <c r="AK149" s="646"/>
    </row>
    <row r="150" spans="1:37">
      <c r="A150" s="646"/>
      <c r="B150" s="646"/>
      <c r="C150" s="646"/>
      <c r="D150" s="646"/>
      <c r="E150" s="646"/>
      <c r="F150" s="646"/>
      <c r="G150" s="646"/>
      <c r="H150" s="646"/>
      <c r="I150" s="646"/>
      <c r="J150" s="646"/>
      <c r="K150" s="646"/>
      <c r="L150" s="646"/>
      <c r="M150" s="646"/>
      <c r="N150" s="646"/>
      <c r="O150" s="646"/>
      <c r="P150" s="646"/>
      <c r="Q150" s="646"/>
      <c r="R150" s="646"/>
      <c r="S150" s="646"/>
      <c r="T150" s="646"/>
      <c r="U150" s="646"/>
      <c r="V150" s="646"/>
      <c r="W150" s="646"/>
      <c r="X150" s="646"/>
      <c r="Y150" s="646"/>
      <c r="Z150" s="646"/>
      <c r="AA150" s="646"/>
      <c r="AB150" s="646"/>
      <c r="AC150" s="646"/>
      <c r="AD150" s="646"/>
      <c r="AE150" s="646"/>
      <c r="AF150" s="646"/>
      <c r="AG150" s="646"/>
      <c r="AH150" s="646"/>
      <c r="AI150" s="646"/>
      <c r="AJ150" s="646"/>
      <c r="AK150" s="646"/>
    </row>
    <row r="151" spans="1:37">
      <c r="A151" s="646"/>
      <c r="B151" s="646"/>
      <c r="C151" s="646"/>
      <c r="D151" s="646"/>
      <c r="E151" s="646"/>
      <c r="F151" s="646"/>
      <c r="G151" s="646"/>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46"/>
    </row>
    <row r="152" spans="1:37">
      <c r="A152" s="646"/>
      <c r="B152" s="646"/>
      <c r="C152" s="646"/>
      <c r="D152" s="646"/>
      <c r="E152" s="646"/>
      <c r="F152" s="646"/>
      <c r="G152" s="646"/>
      <c r="H152" s="646"/>
      <c r="I152" s="646"/>
      <c r="J152" s="646"/>
      <c r="K152" s="646"/>
      <c r="L152" s="646"/>
      <c r="M152" s="646"/>
      <c r="N152" s="646"/>
      <c r="O152" s="646"/>
      <c r="P152" s="646"/>
      <c r="Q152" s="646"/>
      <c r="R152" s="646"/>
      <c r="S152" s="646"/>
      <c r="T152" s="646"/>
      <c r="U152" s="646"/>
      <c r="V152" s="646"/>
      <c r="W152" s="646"/>
      <c r="X152" s="646"/>
      <c r="Y152" s="646"/>
      <c r="Z152" s="646"/>
      <c r="AA152" s="646"/>
      <c r="AB152" s="646"/>
      <c r="AC152" s="646"/>
      <c r="AD152" s="646"/>
      <c r="AE152" s="646"/>
      <c r="AF152" s="646"/>
      <c r="AG152" s="646"/>
      <c r="AH152" s="646"/>
      <c r="AI152" s="646"/>
      <c r="AJ152" s="646"/>
      <c r="AK152" s="646"/>
    </row>
    <row r="153" spans="1:37">
      <c r="A153" s="646"/>
      <c r="B153" s="646"/>
      <c r="C153" s="646"/>
      <c r="D153" s="646"/>
      <c r="E153" s="646"/>
      <c r="F153" s="646"/>
      <c r="G153" s="646"/>
      <c r="H153" s="646"/>
      <c r="I153" s="646"/>
      <c r="J153" s="646"/>
      <c r="K153" s="646"/>
      <c r="L153" s="646"/>
      <c r="M153" s="646"/>
      <c r="N153" s="646"/>
      <c r="O153" s="646"/>
      <c r="P153" s="646"/>
      <c r="Q153" s="646"/>
      <c r="R153" s="646"/>
      <c r="S153" s="646"/>
      <c r="T153" s="646"/>
      <c r="U153" s="646"/>
      <c r="V153" s="646"/>
      <c r="W153" s="646"/>
      <c r="X153" s="646"/>
      <c r="Y153" s="646"/>
      <c r="Z153" s="646"/>
      <c r="AA153" s="646"/>
      <c r="AB153" s="646"/>
      <c r="AC153" s="646"/>
      <c r="AD153" s="646"/>
      <c r="AE153" s="646"/>
      <c r="AF153" s="646"/>
      <c r="AG153" s="646"/>
      <c r="AH153" s="646"/>
      <c r="AI153" s="646"/>
      <c r="AJ153" s="646"/>
      <c r="AK153" s="646"/>
    </row>
    <row r="154" spans="1:37">
      <c r="A154" s="646"/>
      <c r="B154" s="646"/>
      <c r="C154" s="646"/>
      <c r="D154" s="646"/>
      <c r="E154" s="646"/>
      <c r="F154" s="646"/>
      <c r="G154" s="646"/>
      <c r="H154" s="646"/>
      <c r="I154" s="646"/>
      <c r="J154" s="646"/>
      <c r="K154" s="646"/>
      <c r="L154" s="646"/>
      <c r="M154" s="646"/>
      <c r="N154" s="646"/>
      <c r="O154" s="646"/>
      <c r="P154" s="646"/>
      <c r="Q154" s="646"/>
      <c r="R154" s="646"/>
      <c r="S154" s="646"/>
      <c r="T154" s="646"/>
      <c r="U154" s="646"/>
      <c r="V154" s="646"/>
      <c r="W154" s="646"/>
      <c r="X154" s="646"/>
      <c r="Y154" s="646"/>
      <c r="Z154" s="646"/>
      <c r="AA154" s="646"/>
      <c r="AB154" s="646"/>
      <c r="AC154" s="646"/>
      <c r="AD154" s="646"/>
      <c r="AE154" s="646"/>
      <c r="AF154" s="646"/>
      <c r="AG154" s="646"/>
      <c r="AH154" s="646"/>
      <c r="AI154" s="646"/>
      <c r="AJ154" s="646"/>
      <c r="AK154" s="646"/>
    </row>
    <row r="155" spans="1:37">
      <c r="A155" s="646"/>
      <c r="B155" s="646"/>
      <c r="C155" s="646"/>
      <c r="D155" s="646"/>
      <c r="E155" s="646"/>
      <c r="F155" s="646"/>
      <c r="G155" s="646"/>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646"/>
    </row>
    <row r="156" spans="1:37">
      <c r="A156" s="646"/>
      <c r="B156" s="646"/>
      <c r="C156" s="646"/>
      <c r="D156" s="646"/>
      <c r="E156" s="646"/>
      <c r="F156" s="646"/>
      <c r="G156" s="646"/>
      <c r="H156" s="646"/>
      <c r="I156" s="646"/>
      <c r="J156" s="646"/>
      <c r="K156" s="646"/>
      <c r="L156" s="646"/>
      <c r="M156" s="646"/>
      <c r="N156" s="646"/>
      <c r="O156" s="646"/>
      <c r="P156" s="646"/>
      <c r="Q156" s="646"/>
      <c r="R156" s="646"/>
      <c r="S156" s="646"/>
      <c r="T156" s="646"/>
      <c r="U156" s="646"/>
      <c r="V156" s="646"/>
      <c r="W156" s="646"/>
      <c r="X156" s="646"/>
      <c r="Y156" s="646"/>
      <c r="Z156" s="646"/>
      <c r="AA156" s="646"/>
      <c r="AB156" s="646"/>
      <c r="AC156" s="646"/>
      <c r="AD156" s="646"/>
      <c r="AE156" s="646"/>
      <c r="AF156" s="646"/>
      <c r="AG156" s="646"/>
      <c r="AH156" s="646"/>
      <c r="AI156" s="646"/>
      <c r="AJ156" s="646"/>
      <c r="AK156" s="646"/>
    </row>
    <row r="157" spans="1:37">
      <c r="A157" s="646"/>
      <c r="B157" s="646"/>
      <c r="C157" s="646"/>
      <c r="D157" s="646"/>
      <c r="E157" s="646"/>
      <c r="F157" s="646"/>
      <c r="G157" s="646"/>
      <c r="H157" s="646"/>
      <c r="I157" s="646"/>
      <c r="J157" s="646"/>
      <c r="K157" s="646"/>
      <c r="L157" s="646"/>
      <c r="M157" s="646"/>
      <c r="N157" s="646"/>
      <c r="O157" s="646"/>
      <c r="P157" s="646"/>
      <c r="Q157" s="646"/>
      <c r="R157" s="646"/>
      <c r="S157" s="646"/>
      <c r="T157" s="646"/>
      <c r="U157" s="646"/>
      <c r="V157" s="646"/>
      <c r="W157" s="646"/>
      <c r="X157" s="646"/>
      <c r="Y157" s="646"/>
      <c r="Z157" s="646"/>
      <c r="AA157" s="646"/>
      <c r="AB157" s="646"/>
      <c r="AC157" s="646"/>
      <c r="AD157" s="646"/>
      <c r="AE157" s="646"/>
      <c r="AF157" s="646"/>
      <c r="AG157" s="646"/>
      <c r="AH157" s="646"/>
      <c r="AI157" s="646"/>
      <c r="AJ157" s="646"/>
      <c r="AK157" s="646"/>
    </row>
    <row r="158" spans="1:37">
      <c r="A158" s="646"/>
      <c r="B158" s="646"/>
      <c r="C158" s="646"/>
      <c r="D158" s="646"/>
      <c r="E158" s="646"/>
      <c r="F158" s="646"/>
      <c r="G158" s="646"/>
      <c r="H158" s="646"/>
      <c r="I158" s="646"/>
      <c r="J158" s="646"/>
      <c r="K158" s="646"/>
      <c r="L158" s="646"/>
      <c r="M158" s="646"/>
      <c r="N158" s="646"/>
      <c r="O158" s="646"/>
      <c r="P158" s="646"/>
      <c r="Q158" s="646"/>
      <c r="R158" s="646"/>
      <c r="S158" s="646"/>
      <c r="T158" s="646"/>
      <c r="U158" s="646"/>
      <c r="V158" s="646"/>
      <c r="W158" s="646"/>
      <c r="X158" s="646"/>
      <c r="Y158" s="646"/>
      <c r="Z158" s="646"/>
      <c r="AA158" s="646"/>
      <c r="AB158" s="646"/>
      <c r="AC158" s="646"/>
      <c r="AD158" s="646"/>
      <c r="AE158" s="646"/>
      <c r="AF158" s="646"/>
      <c r="AG158" s="646"/>
      <c r="AH158" s="646"/>
      <c r="AI158" s="646"/>
      <c r="AJ158" s="646"/>
      <c r="AK158" s="646"/>
    </row>
    <row r="159" spans="1:37">
      <c r="A159" s="646"/>
      <c r="B159" s="646"/>
      <c r="C159" s="646"/>
      <c r="D159" s="646"/>
      <c r="E159" s="646"/>
      <c r="F159" s="646"/>
      <c r="G159" s="646"/>
      <c r="H159" s="646"/>
      <c r="I159" s="646"/>
      <c r="J159" s="646"/>
      <c r="K159" s="646"/>
      <c r="L159" s="646"/>
      <c r="M159" s="646"/>
      <c r="N159" s="646"/>
      <c r="O159" s="646"/>
      <c r="P159" s="646"/>
      <c r="Q159" s="646"/>
      <c r="R159" s="646"/>
      <c r="S159" s="646"/>
      <c r="T159" s="646"/>
      <c r="U159" s="646"/>
      <c r="V159" s="646"/>
      <c r="W159" s="646"/>
      <c r="X159" s="646"/>
      <c r="Y159" s="646"/>
      <c r="Z159" s="646"/>
      <c r="AA159" s="646"/>
      <c r="AB159" s="646"/>
      <c r="AC159" s="646"/>
      <c r="AD159" s="646"/>
      <c r="AE159" s="646"/>
      <c r="AF159" s="646"/>
      <c r="AG159" s="646"/>
      <c r="AH159" s="646"/>
      <c r="AI159" s="646"/>
      <c r="AJ159" s="646"/>
      <c r="AK159" s="646"/>
    </row>
    <row r="160" spans="1:37">
      <c r="A160" s="646"/>
      <c r="B160" s="646"/>
      <c r="C160" s="646"/>
      <c r="D160" s="646"/>
      <c r="E160" s="646"/>
      <c r="F160" s="646"/>
      <c r="G160" s="646"/>
      <c r="H160" s="646"/>
      <c r="I160" s="646"/>
      <c r="J160" s="646"/>
      <c r="K160" s="646"/>
      <c r="L160" s="646"/>
      <c r="M160" s="646"/>
      <c r="N160" s="646"/>
      <c r="O160" s="646"/>
      <c r="P160" s="646"/>
      <c r="Q160" s="646"/>
      <c r="R160" s="646"/>
      <c r="S160" s="646"/>
      <c r="T160" s="646"/>
      <c r="U160" s="646"/>
      <c r="V160" s="646"/>
      <c r="W160" s="646"/>
      <c r="X160" s="646"/>
      <c r="Y160" s="646"/>
      <c r="Z160" s="646"/>
      <c r="AA160" s="646"/>
      <c r="AB160" s="646"/>
      <c r="AC160" s="646"/>
      <c r="AD160" s="646"/>
      <c r="AE160" s="646"/>
      <c r="AF160" s="646"/>
      <c r="AG160" s="646"/>
      <c r="AH160" s="646"/>
      <c r="AI160" s="646"/>
      <c r="AJ160" s="646"/>
      <c r="AK160" s="646"/>
    </row>
    <row r="161" spans="1:37">
      <c r="A161" s="646"/>
      <c r="B161" s="646"/>
      <c r="C161" s="646"/>
      <c r="D161" s="646"/>
      <c r="E161" s="646"/>
      <c r="F161" s="646"/>
      <c r="G161" s="646"/>
      <c r="H161" s="646"/>
      <c r="I161" s="646"/>
      <c r="J161" s="646"/>
      <c r="K161" s="646"/>
      <c r="L161" s="646"/>
      <c r="M161" s="646"/>
      <c r="N161" s="646"/>
      <c r="O161" s="646"/>
      <c r="P161" s="646"/>
      <c r="Q161" s="646"/>
      <c r="R161" s="646"/>
      <c r="S161" s="646"/>
      <c r="T161" s="646"/>
      <c r="U161" s="646"/>
      <c r="V161" s="646"/>
      <c r="W161" s="646"/>
      <c r="X161" s="646"/>
      <c r="Y161" s="646"/>
      <c r="Z161" s="646"/>
      <c r="AA161" s="646"/>
      <c r="AB161" s="646"/>
      <c r="AC161" s="646"/>
      <c r="AD161" s="646"/>
      <c r="AE161" s="646"/>
      <c r="AF161" s="646"/>
      <c r="AG161" s="646"/>
      <c r="AH161" s="646"/>
      <c r="AI161" s="646"/>
      <c r="AJ161" s="646"/>
      <c r="AK161" s="646"/>
    </row>
    <row r="162" spans="1:37">
      <c r="A162" s="646"/>
      <c r="B162" s="646"/>
      <c r="C162" s="646"/>
      <c r="D162" s="646"/>
      <c r="E162" s="646"/>
      <c r="F162" s="646"/>
      <c r="G162" s="646"/>
      <c r="H162" s="646"/>
      <c r="I162" s="646"/>
      <c r="J162" s="646"/>
      <c r="K162" s="646"/>
      <c r="L162" s="646"/>
      <c r="M162" s="646"/>
      <c r="N162" s="646"/>
      <c r="O162" s="646"/>
      <c r="P162" s="646"/>
      <c r="Q162" s="646"/>
      <c r="R162" s="646"/>
      <c r="S162" s="646"/>
      <c r="T162" s="646"/>
      <c r="U162" s="646"/>
      <c r="V162" s="646"/>
      <c r="W162" s="646"/>
      <c r="X162" s="646"/>
      <c r="Y162" s="646"/>
      <c r="Z162" s="646"/>
      <c r="AA162" s="646"/>
      <c r="AB162" s="646"/>
      <c r="AC162" s="646"/>
      <c r="AD162" s="646"/>
      <c r="AE162" s="646"/>
      <c r="AF162" s="646"/>
      <c r="AG162" s="646"/>
      <c r="AH162" s="646"/>
      <c r="AI162" s="646"/>
      <c r="AJ162" s="646"/>
      <c r="AK162" s="646"/>
    </row>
    <row r="163" spans="1:37">
      <c r="A163" s="646"/>
      <c r="B163" s="646"/>
      <c r="C163" s="646"/>
      <c r="D163" s="646"/>
      <c r="E163" s="646"/>
      <c r="F163" s="646"/>
      <c r="G163" s="646"/>
      <c r="H163" s="646"/>
      <c r="I163" s="646"/>
      <c r="J163" s="646"/>
      <c r="K163" s="646"/>
      <c r="L163" s="646"/>
      <c r="M163" s="646"/>
      <c r="N163" s="646"/>
      <c r="O163" s="646"/>
      <c r="P163" s="646"/>
      <c r="Q163" s="646"/>
      <c r="R163" s="646"/>
      <c r="S163" s="646"/>
      <c r="T163" s="646"/>
      <c r="U163" s="646"/>
      <c r="V163" s="646"/>
      <c r="W163" s="646"/>
      <c r="X163" s="646"/>
      <c r="Y163" s="646"/>
      <c r="Z163" s="646"/>
      <c r="AA163" s="646"/>
      <c r="AB163" s="646"/>
      <c r="AC163" s="646"/>
      <c r="AD163" s="646"/>
      <c r="AE163" s="646"/>
      <c r="AF163" s="646"/>
      <c r="AG163" s="646"/>
      <c r="AH163" s="646"/>
      <c r="AI163" s="646"/>
      <c r="AJ163" s="646"/>
      <c r="AK163" s="646"/>
    </row>
    <row r="164" spans="1:37">
      <c r="A164" s="646"/>
      <c r="B164" s="646"/>
      <c r="C164" s="646"/>
      <c r="D164" s="646"/>
      <c r="E164" s="646"/>
      <c r="F164" s="646"/>
      <c r="G164" s="646"/>
      <c r="H164" s="646"/>
      <c r="I164" s="646"/>
      <c r="J164" s="646"/>
      <c r="K164" s="646"/>
      <c r="L164" s="646"/>
      <c r="M164" s="646"/>
      <c r="N164" s="646"/>
      <c r="O164" s="646"/>
      <c r="P164" s="646"/>
      <c r="Q164" s="646"/>
      <c r="R164" s="646"/>
      <c r="S164" s="646"/>
      <c r="T164" s="646"/>
      <c r="U164" s="646"/>
      <c r="V164" s="646"/>
      <c r="W164" s="646"/>
      <c r="X164" s="646"/>
      <c r="Y164" s="646"/>
      <c r="Z164" s="646"/>
      <c r="AA164" s="646"/>
      <c r="AB164" s="646"/>
      <c r="AC164" s="646"/>
      <c r="AD164" s="646"/>
      <c r="AE164" s="646"/>
      <c r="AF164" s="646"/>
      <c r="AG164" s="646"/>
      <c r="AH164" s="646"/>
      <c r="AI164" s="646"/>
      <c r="AJ164" s="646"/>
      <c r="AK164" s="646"/>
    </row>
    <row r="165" spans="1:37">
      <c r="A165" s="646"/>
      <c r="B165" s="646"/>
      <c r="C165" s="646"/>
      <c r="D165" s="646"/>
      <c r="E165" s="646"/>
      <c r="F165" s="646"/>
      <c r="G165" s="646"/>
      <c r="H165" s="646"/>
      <c r="I165" s="646"/>
      <c r="J165" s="646"/>
      <c r="K165" s="646"/>
      <c r="L165" s="646"/>
      <c r="M165" s="646"/>
      <c r="N165" s="646"/>
      <c r="O165" s="646"/>
      <c r="P165" s="646"/>
      <c r="Q165" s="646"/>
      <c r="R165" s="646"/>
      <c r="S165" s="646"/>
      <c r="T165" s="646"/>
      <c r="U165" s="646"/>
      <c r="V165" s="646"/>
      <c r="W165" s="646"/>
      <c r="X165" s="646"/>
      <c r="Y165" s="646"/>
      <c r="Z165" s="646"/>
      <c r="AA165" s="646"/>
      <c r="AB165" s="646"/>
      <c r="AC165" s="646"/>
      <c r="AD165" s="646"/>
      <c r="AE165" s="646"/>
      <c r="AF165" s="646"/>
      <c r="AG165" s="646"/>
      <c r="AH165" s="646"/>
      <c r="AI165" s="646"/>
      <c r="AJ165" s="646"/>
      <c r="AK165" s="646"/>
    </row>
    <row r="166" spans="1:37">
      <c r="A166" s="646"/>
      <c r="B166" s="646"/>
      <c r="C166" s="646"/>
      <c r="D166" s="646"/>
      <c r="E166" s="646"/>
      <c r="F166" s="646"/>
      <c r="G166" s="646"/>
      <c r="H166" s="646"/>
      <c r="I166" s="646"/>
      <c r="J166" s="646"/>
      <c r="K166" s="646"/>
      <c r="L166" s="646"/>
      <c r="M166" s="646"/>
      <c r="N166" s="646"/>
      <c r="O166" s="646"/>
      <c r="P166" s="646"/>
      <c r="Q166" s="646"/>
      <c r="R166" s="646"/>
      <c r="S166" s="646"/>
      <c r="T166" s="646"/>
      <c r="U166" s="646"/>
      <c r="V166" s="646"/>
      <c r="W166" s="646"/>
      <c r="X166" s="646"/>
      <c r="Y166" s="646"/>
      <c r="Z166" s="646"/>
      <c r="AA166" s="646"/>
      <c r="AB166" s="646"/>
      <c r="AC166" s="646"/>
      <c r="AD166" s="646"/>
      <c r="AE166" s="646"/>
      <c r="AF166" s="646"/>
      <c r="AG166" s="646"/>
      <c r="AH166" s="646"/>
      <c r="AI166" s="646"/>
      <c r="AJ166" s="646"/>
      <c r="AK166" s="646"/>
    </row>
    <row r="167" spans="1:37">
      <c r="A167" s="646"/>
      <c r="B167" s="646"/>
      <c r="C167" s="646"/>
      <c r="D167" s="646"/>
      <c r="E167" s="646"/>
      <c r="F167" s="646"/>
      <c r="G167" s="646"/>
      <c r="H167" s="646"/>
      <c r="I167" s="646"/>
      <c r="J167" s="646"/>
      <c r="K167" s="646"/>
      <c r="L167" s="646"/>
      <c r="M167" s="646"/>
      <c r="N167" s="646"/>
      <c r="O167" s="646"/>
      <c r="P167" s="646"/>
      <c r="Q167" s="646"/>
      <c r="R167" s="646"/>
      <c r="S167" s="646"/>
      <c r="T167" s="646"/>
      <c r="U167" s="646"/>
      <c r="V167" s="646"/>
      <c r="W167" s="646"/>
      <c r="X167" s="646"/>
      <c r="Y167" s="646"/>
      <c r="Z167" s="646"/>
      <c r="AA167" s="646"/>
      <c r="AB167" s="646"/>
      <c r="AC167" s="646"/>
      <c r="AD167" s="646"/>
      <c r="AE167" s="646"/>
      <c r="AF167" s="646"/>
      <c r="AG167" s="646"/>
      <c r="AH167" s="646"/>
      <c r="AI167" s="646"/>
      <c r="AJ167" s="646"/>
      <c r="AK167" s="646"/>
    </row>
    <row r="168" spans="1:37">
      <c r="A168" s="646"/>
      <c r="B168" s="646"/>
      <c r="C168" s="646"/>
      <c r="D168" s="646"/>
      <c r="E168" s="646"/>
      <c r="F168" s="646"/>
      <c r="G168" s="646"/>
      <c r="H168" s="646"/>
      <c r="I168" s="646"/>
      <c r="J168" s="646"/>
      <c r="K168" s="646"/>
      <c r="L168" s="646"/>
      <c r="M168" s="646"/>
      <c r="N168" s="646"/>
      <c r="O168" s="646"/>
      <c r="P168" s="646"/>
      <c r="Q168" s="646"/>
      <c r="R168" s="646"/>
      <c r="S168" s="646"/>
      <c r="T168" s="646"/>
      <c r="U168" s="646"/>
      <c r="V168" s="646"/>
      <c r="W168" s="646"/>
      <c r="X168" s="646"/>
      <c r="Y168" s="646"/>
      <c r="Z168" s="646"/>
      <c r="AA168" s="646"/>
      <c r="AB168" s="646"/>
      <c r="AC168" s="646"/>
      <c r="AD168" s="646"/>
      <c r="AE168" s="646"/>
      <c r="AF168" s="646"/>
      <c r="AG168" s="646"/>
      <c r="AH168" s="646"/>
      <c r="AI168" s="646"/>
      <c r="AJ168" s="646"/>
      <c r="AK168" s="646"/>
    </row>
    <row r="169" spans="1:37">
      <c r="A169" s="646"/>
      <c r="B169" s="646"/>
      <c r="C169" s="646"/>
      <c r="D169" s="646"/>
      <c r="E169" s="646"/>
      <c r="F169" s="646"/>
      <c r="G169" s="646"/>
      <c r="H169" s="646"/>
      <c r="I169" s="646"/>
      <c r="J169" s="646"/>
      <c r="K169" s="646"/>
      <c r="L169" s="646"/>
      <c r="M169" s="646"/>
      <c r="N169" s="646"/>
      <c r="O169" s="646"/>
      <c r="P169" s="646"/>
      <c r="Q169" s="646"/>
      <c r="R169" s="646"/>
      <c r="S169" s="646"/>
      <c r="T169" s="646"/>
      <c r="U169" s="646"/>
      <c r="V169" s="646"/>
      <c r="W169" s="646"/>
      <c r="X169" s="646"/>
      <c r="Y169" s="646"/>
      <c r="Z169" s="646"/>
      <c r="AA169" s="646"/>
      <c r="AB169" s="646"/>
      <c r="AC169" s="646"/>
      <c r="AD169" s="646"/>
      <c r="AE169" s="646"/>
      <c r="AF169" s="646"/>
      <c r="AG169" s="646"/>
      <c r="AH169" s="646"/>
      <c r="AI169" s="646"/>
      <c r="AJ169" s="646"/>
      <c r="AK169" s="646"/>
    </row>
    <row r="170" spans="1:37">
      <c r="A170" s="646"/>
      <c r="B170" s="646"/>
      <c r="C170" s="646"/>
      <c r="D170" s="646"/>
      <c r="E170" s="646"/>
      <c r="F170" s="646"/>
      <c r="G170" s="646"/>
      <c r="H170" s="646"/>
      <c r="I170" s="646"/>
      <c r="J170" s="646"/>
      <c r="K170" s="646"/>
      <c r="L170" s="646"/>
      <c r="M170" s="646"/>
      <c r="N170" s="646"/>
      <c r="O170" s="646"/>
      <c r="P170" s="646"/>
      <c r="Q170" s="646"/>
      <c r="R170" s="646"/>
      <c r="S170" s="646"/>
      <c r="T170" s="646"/>
      <c r="U170" s="646"/>
      <c r="V170" s="646"/>
      <c r="W170" s="646"/>
      <c r="X170" s="646"/>
      <c r="Y170" s="646"/>
      <c r="Z170" s="646"/>
      <c r="AA170" s="646"/>
      <c r="AB170" s="646"/>
      <c r="AC170" s="646"/>
      <c r="AD170" s="646"/>
      <c r="AE170" s="646"/>
      <c r="AF170" s="646"/>
      <c r="AG170" s="646"/>
      <c r="AH170" s="646"/>
      <c r="AI170" s="646"/>
      <c r="AJ170" s="646"/>
      <c r="AK170" s="646"/>
    </row>
    <row r="171" spans="1:37">
      <c r="A171" s="646"/>
      <c r="B171" s="646"/>
      <c r="C171" s="646"/>
      <c r="D171" s="646"/>
      <c r="E171" s="646"/>
      <c r="F171" s="646"/>
      <c r="G171" s="646"/>
      <c r="H171" s="646"/>
      <c r="I171" s="646"/>
      <c r="J171" s="646"/>
      <c r="K171" s="646"/>
      <c r="L171" s="646"/>
      <c r="M171" s="646"/>
      <c r="N171" s="646"/>
      <c r="O171" s="646"/>
      <c r="P171" s="646"/>
      <c r="Q171" s="646"/>
      <c r="R171" s="646"/>
      <c r="S171" s="646"/>
      <c r="T171" s="646"/>
      <c r="U171" s="646"/>
      <c r="V171" s="646"/>
      <c r="W171" s="646"/>
      <c r="X171" s="646"/>
      <c r="Y171" s="646"/>
      <c r="Z171" s="646"/>
      <c r="AA171" s="646"/>
      <c r="AB171" s="646"/>
      <c r="AC171" s="646"/>
      <c r="AD171" s="646"/>
      <c r="AE171" s="646"/>
      <c r="AF171" s="646"/>
      <c r="AG171" s="646"/>
      <c r="AH171" s="646"/>
      <c r="AI171" s="646"/>
      <c r="AJ171" s="646"/>
      <c r="AK171" s="646"/>
    </row>
    <row r="172" spans="1:37">
      <c r="A172" s="646"/>
      <c r="B172" s="646"/>
      <c r="C172" s="646"/>
      <c r="D172" s="646"/>
      <c r="E172" s="646"/>
      <c r="F172" s="646"/>
      <c r="G172" s="646"/>
      <c r="H172" s="646"/>
      <c r="I172" s="646"/>
      <c r="J172" s="646"/>
      <c r="K172" s="646"/>
      <c r="L172" s="646"/>
      <c r="M172" s="646"/>
      <c r="N172" s="646"/>
      <c r="O172" s="646"/>
      <c r="P172" s="646"/>
      <c r="Q172" s="646"/>
      <c r="R172" s="646"/>
      <c r="S172" s="646"/>
      <c r="T172" s="646"/>
      <c r="U172" s="646"/>
      <c r="V172" s="646"/>
      <c r="W172" s="646"/>
      <c r="X172" s="646"/>
      <c r="Y172" s="646"/>
      <c r="Z172" s="646"/>
      <c r="AA172" s="646"/>
      <c r="AB172" s="646"/>
      <c r="AC172" s="646"/>
      <c r="AD172" s="646"/>
      <c r="AE172" s="646"/>
      <c r="AF172" s="646"/>
      <c r="AG172" s="646"/>
      <c r="AH172" s="646"/>
      <c r="AI172" s="646"/>
      <c r="AJ172" s="646"/>
      <c r="AK172" s="646"/>
    </row>
    <row r="173" spans="1:37">
      <c r="A173" s="646"/>
      <c r="B173" s="646"/>
      <c r="C173" s="646"/>
      <c r="D173" s="646"/>
      <c r="E173" s="646"/>
      <c r="F173" s="646"/>
      <c r="G173" s="646"/>
      <c r="H173" s="646"/>
      <c r="I173" s="646"/>
      <c r="J173" s="646"/>
      <c r="K173" s="646"/>
      <c r="L173" s="646"/>
      <c r="M173" s="646"/>
      <c r="N173" s="646"/>
      <c r="O173" s="646"/>
      <c r="P173" s="646"/>
      <c r="Q173" s="646"/>
      <c r="R173" s="646"/>
      <c r="S173" s="646"/>
      <c r="T173" s="646"/>
      <c r="U173" s="646"/>
      <c r="V173" s="646"/>
      <c r="W173" s="646"/>
      <c r="X173" s="646"/>
      <c r="Y173" s="646"/>
      <c r="Z173" s="646"/>
      <c r="AA173" s="646"/>
      <c r="AB173" s="646"/>
      <c r="AC173" s="646"/>
      <c r="AD173" s="646"/>
      <c r="AE173" s="646"/>
      <c r="AF173" s="646"/>
      <c r="AG173" s="646"/>
      <c r="AH173" s="646"/>
      <c r="AI173" s="646"/>
      <c r="AJ173" s="646"/>
      <c r="AK173" s="646"/>
    </row>
    <row r="174" spans="1:37">
      <c r="A174" s="646"/>
      <c r="B174" s="646"/>
      <c r="C174" s="646"/>
      <c r="D174" s="646"/>
      <c r="E174" s="646"/>
      <c r="F174" s="646"/>
      <c r="G174" s="646"/>
      <c r="H174" s="646"/>
      <c r="I174" s="646"/>
      <c r="J174" s="646"/>
      <c r="K174" s="646"/>
      <c r="L174" s="646"/>
      <c r="M174" s="646"/>
      <c r="N174" s="646"/>
      <c r="O174" s="646"/>
      <c r="P174" s="646"/>
      <c r="Q174" s="646"/>
      <c r="R174" s="646"/>
      <c r="S174" s="646"/>
      <c r="T174" s="646"/>
      <c r="U174" s="646"/>
      <c r="V174" s="646"/>
      <c r="W174" s="646"/>
      <c r="X174" s="646"/>
      <c r="Y174" s="646"/>
      <c r="Z174" s="646"/>
      <c r="AA174" s="646"/>
      <c r="AB174" s="646"/>
      <c r="AC174" s="646"/>
      <c r="AD174" s="646"/>
      <c r="AE174" s="646"/>
      <c r="AF174" s="646"/>
      <c r="AG174" s="646"/>
      <c r="AH174" s="646"/>
      <c r="AI174" s="646"/>
      <c r="AJ174" s="646"/>
      <c r="AK174" s="646"/>
    </row>
    <row r="175" spans="1:37">
      <c r="A175" s="646"/>
      <c r="B175" s="646"/>
      <c r="C175" s="646"/>
      <c r="D175" s="646"/>
      <c r="E175" s="646"/>
      <c r="F175" s="646"/>
      <c r="G175" s="646"/>
      <c r="H175" s="646"/>
      <c r="I175" s="646"/>
      <c r="J175" s="646"/>
      <c r="K175" s="646"/>
      <c r="L175" s="646"/>
      <c r="M175" s="646"/>
      <c r="N175" s="646"/>
      <c r="O175" s="646"/>
      <c r="P175" s="646"/>
      <c r="Q175" s="646"/>
      <c r="R175" s="646"/>
      <c r="S175" s="646"/>
      <c r="T175" s="646"/>
      <c r="U175" s="646"/>
      <c r="V175" s="646"/>
      <c r="W175" s="646"/>
      <c r="X175" s="646"/>
      <c r="Y175" s="646"/>
      <c r="Z175" s="646"/>
      <c r="AA175" s="646"/>
      <c r="AB175" s="646"/>
      <c r="AC175" s="646"/>
      <c r="AD175" s="646"/>
      <c r="AE175" s="646"/>
      <c r="AF175" s="646"/>
      <c r="AG175" s="646"/>
      <c r="AH175" s="646"/>
      <c r="AI175" s="646"/>
      <c r="AJ175" s="646"/>
      <c r="AK175" s="646"/>
    </row>
    <row r="176" spans="1:37">
      <c r="A176" s="646"/>
      <c r="B176" s="646"/>
      <c r="C176" s="646"/>
      <c r="D176" s="646"/>
      <c r="E176" s="646"/>
      <c r="F176" s="646"/>
      <c r="G176" s="646"/>
      <c r="H176" s="646"/>
      <c r="I176" s="646"/>
      <c r="J176" s="646"/>
      <c r="K176" s="646"/>
      <c r="L176" s="646"/>
      <c r="M176" s="646"/>
      <c r="N176" s="646"/>
      <c r="O176" s="646"/>
      <c r="P176" s="646"/>
      <c r="Q176" s="646"/>
      <c r="R176" s="646"/>
      <c r="S176" s="646"/>
      <c r="T176" s="646"/>
      <c r="U176" s="646"/>
      <c r="V176" s="646"/>
      <c r="W176" s="646"/>
      <c r="X176" s="646"/>
      <c r="Y176" s="646"/>
      <c r="Z176" s="646"/>
      <c r="AA176" s="646"/>
      <c r="AB176" s="646"/>
      <c r="AC176" s="646"/>
      <c r="AD176" s="646"/>
      <c r="AE176" s="646"/>
      <c r="AF176" s="646"/>
      <c r="AG176" s="646"/>
      <c r="AH176" s="646"/>
      <c r="AI176" s="646"/>
      <c r="AJ176" s="646"/>
      <c r="AK176" s="646"/>
    </row>
    <row r="177" spans="1:37">
      <c r="A177" s="646"/>
      <c r="B177" s="646"/>
      <c r="C177" s="646"/>
      <c r="D177" s="646"/>
      <c r="E177" s="646"/>
      <c r="F177" s="646"/>
      <c r="G177" s="646"/>
      <c r="H177" s="646"/>
      <c r="I177" s="646"/>
      <c r="J177" s="646"/>
      <c r="K177" s="646"/>
      <c r="L177" s="646"/>
      <c r="M177" s="646"/>
      <c r="N177" s="646"/>
      <c r="O177" s="646"/>
      <c r="P177" s="646"/>
      <c r="Q177" s="646"/>
      <c r="R177" s="646"/>
      <c r="S177" s="646"/>
      <c r="T177" s="646"/>
      <c r="U177" s="646"/>
      <c r="V177" s="646"/>
      <c r="W177" s="646"/>
      <c r="X177" s="646"/>
      <c r="Y177" s="646"/>
      <c r="Z177" s="646"/>
      <c r="AA177" s="646"/>
      <c r="AB177" s="646"/>
      <c r="AC177" s="646"/>
      <c r="AD177" s="646"/>
      <c r="AE177" s="646"/>
      <c r="AF177" s="646"/>
      <c r="AG177" s="646"/>
      <c r="AH177" s="646"/>
      <c r="AI177" s="646"/>
      <c r="AJ177" s="646"/>
      <c r="AK177" s="646"/>
    </row>
    <row r="178" spans="1:37">
      <c r="A178" s="646"/>
      <c r="B178" s="646"/>
      <c r="C178" s="646"/>
      <c r="D178" s="646"/>
      <c r="E178" s="646"/>
      <c r="F178" s="646"/>
      <c r="G178" s="646"/>
      <c r="H178" s="646"/>
      <c r="I178" s="646"/>
      <c r="J178" s="646"/>
      <c r="K178" s="646"/>
      <c r="L178" s="646"/>
      <c r="M178" s="646"/>
      <c r="N178" s="646"/>
      <c r="O178" s="646"/>
      <c r="P178" s="646"/>
      <c r="Q178" s="646"/>
      <c r="R178" s="646"/>
      <c r="S178" s="646"/>
      <c r="T178" s="646"/>
      <c r="U178" s="646"/>
      <c r="V178" s="646"/>
      <c r="W178" s="646"/>
      <c r="X178" s="646"/>
      <c r="Y178" s="646"/>
      <c r="Z178" s="646"/>
      <c r="AA178" s="646"/>
      <c r="AB178" s="646"/>
      <c r="AC178" s="646"/>
      <c r="AD178" s="646"/>
      <c r="AE178" s="646"/>
      <c r="AF178" s="646"/>
      <c r="AG178" s="646"/>
      <c r="AH178" s="646"/>
      <c r="AI178" s="646"/>
      <c r="AJ178" s="646"/>
      <c r="AK178" s="646"/>
    </row>
    <row r="179" spans="1:37">
      <c r="A179" s="646"/>
      <c r="B179" s="646"/>
      <c r="C179" s="646"/>
      <c r="D179" s="646"/>
      <c r="E179" s="646"/>
      <c r="F179" s="646"/>
      <c r="G179" s="646"/>
      <c r="H179" s="646"/>
      <c r="I179" s="646"/>
      <c r="J179" s="646"/>
      <c r="K179" s="646"/>
      <c r="L179" s="646"/>
      <c r="M179" s="646"/>
      <c r="N179" s="646"/>
      <c r="O179" s="646"/>
      <c r="P179" s="646"/>
      <c r="Q179" s="646"/>
      <c r="R179" s="646"/>
      <c r="S179" s="646"/>
      <c r="T179" s="646"/>
      <c r="U179" s="646"/>
      <c r="V179" s="646"/>
      <c r="W179" s="646"/>
      <c r="X179" s="646"/>
      <c r="Y179" s="646"/>
      <c r="Z179" s="646"/>
      <c r="AA179" s="646"/>
      <c r="AB179" s="646"/>
      <c r="AC179" s="646"/>
      <c r="AD179" s="646"/>
      <c r="AE179" s="646"/>
      <c r="AF179" s="646"/>
      <c r="AG179" s="646"/>
      <c r="AH179" s="646"/>
      <c r="AI179" s="646"/>
      <c r="AJ179" s="646"/>
      <c r="AK179" s="646"/>
    </row>
    <row r="180" spans="1:37">
      <c r="A180" s="646"/>
      <c r="B180" s="646"/>
      <c r="C180" s="646"/>
      <c r="D180" s="646"/>
      <c r="E180" s="646"/>
      <c r="F180" s="646"/>
      <c r="G180" s="646"/>
      <c r="H180" s="646"/>
      <c r="I180" s="646"/>
      <c r="J180" s="646"/>
      <c r="K180" s="646"/>
      <c r="L180" s="646"/>
      <c r="M180" s="646"/>
      <c r="N180" s="646"/>
      <c r="O180" s="646"/>
      <c r="P180" s="646"/>
      <c r="Q180" s="646"/>
      <c r="R180" s="646"/>
      <c r="S180" s="646"/>
      <c r="T180" s="646"/>
      <c r="U180" s="646"/>
      <c r="V180" s="646"/>
      <c r="W180" s="646"/>
      <c r="X180" s="646"/>
      <c r="Y180" s="646"/>
      <c r="Z180" s="646"/>
      <c r="AA180" s="646"/>
      <c r="AB180" s="646"/>
      <c r="AC180" s="646"/>
      <c r="AD180" s="646"/>
      <c r="AE180" s="646"/>
      <c r="AF180" s="646"/>
      <c r="AG180" s="646"/>
      <c r="AH180" s="646"/>
      <c r="AI180" s="646"/>
      <c r="AJ180" s="646"/>
      <c r="AK180" s="646"/>
    </row>
    <row r="181" spans="1:37">
      <c r="A181" s="646"/>
      <c r="B181" s="646"/>
      <c r="C181" s="646"/>
      <c r="D181" s="646"/>
      <c r="E181" s="646"/>
      <c r="F181" s="646"/>
      <c r="G181" s="646"/>
      <c r="H181" s="646"/>
      <c r="I181" s="646"/>
      <c r="J181" s="646"/>
      <c r="K181" s="646"/>
      <c r="L181" s="646"/>
      <c r="M181" s="646"/>
      <c r="N181" s="646"/>
      <c r="O181" s="646"/>
      <c r="P181" s="646"/>
      <c r="Q181" s="646"/>
      <c r="R181" s="646"/>
      <c r="S181" s="646"/>
      <c r="T181" s="646"/>
      <c r="U181" s="646"/>
      <c r="V181" s="646"/>
      <c r="W181" s="646"/>
      <c r="X181" s="646"/>
      <c r="Y181" s="646"/>
      <c r="Z181" s="646"/>
      <c r="AA181" s="646"/>
      <c r="AB181" s="646"/>
      <c r="AC181" s="646"/>
      <c r="AD181" s="646"/>
      <c r="AE181" s="646"/>
      <c r="AF181" s="646"/>
      <c r="AG181" s="646"/>
      <c r="AH181" s="646"/>
      <c r="AI181" s="646"/>
      <c r="AJ181" s="646"/>
      <c r="AK181" s="646"/>
    </row>
    <row r="182" spans="1:37">
      <c r="A182" s="646"/>
      <c r="B182" s="646"/>
      <c r="C182" s="646"/>
      <c r="D182" s="646"/>
      <c r="E182" s="646"/>
      <c r="F182" s="646"/>
      <c r="G182" s="646"/>
      <c r="H182" s="646"/>
      <c r="I182" s="646"/>
      <c r="J182" s="646"/>
      <c r="K182" s="646"/>
      <c r="L182" s="646"/>
      <c r="M182" s="646"/>
      <c r="N182" s="646"/>
      <c r="O182" s="646"/>
      <c r="P182" s="646"/>
      <c r="Q182" s="646"/>
      <c r="R182" s="646"/>
      <c r="S182" s="646"/>
      <c r="T182" s="646"/>
      <c r="U182" s="646"/>
      <c r="V182" s="646"/>
      <c r="W182" s="646"/>
      <c r="X182" s="646"/>
      <c r="Y182" s="646"/>
      <c r="Z182" s="646"/>
      <c r="AA182" s="646"/>
      <c r="AB182" s="646"/>
      <c r="AC182" s="646"/>
      <c r="AD182" s="646"/>
      <c r="AE182" s="646"/>
      <c r="AF182" s="646"/>
      <c r="AG182" s="646"/>
      <c r="AH182" s="646"/>
      <c r="AI182" s="646"/>
      <c r="AJ182" s="646"/>
      <c r="AK182" s="646"/>
    </row>
    <row r="183" spans="1:37">
      <c r="A183" s="646"/>
      <c r="B183" s="646"/>
      <c r="C183" s="646"/>
      <c r="D183" s="646"/>
      <c r="E183" s="646"/>
      <c r="F183" s="646"/>
      <c r="G183" s="646"/>
      <c r="H183" s="646"/>
      <c r="I183" s="646"/>
      <c r="J183" s="646"/>
      <c r="K183" s="646"/>
      <c r="L183" s="646"/>
      <c r="M183" s="646"/>
      <c r="N183" s="646"/>
      <c r="O183" s="646"/>
      <c r="P183" s="646"/>
      <c r="Q183" s="646"/>
      <c r="R183" s="646"/>
      <c r="S183" s="646"/>
      <c r="T183" s="646"/>
      <c r="U183" s="646"/>
      <c r="V183" s="646"/>
      <c r="W183" s="646"/>
      <c r="X183" s="646"/>
      <c r="Y183" s="646"/>
      <c r="Z183" s="646"/>
      <c r="AA183" s="646"/>
      <c r="AB183" s="646"/>
      <c r="AC183" s="646"/>
      <c r="AD183" s="646"/>
      <c r="AE183" s="646"/>
      <c r="AF183" s="646"/>
      <c r="AG183" s="646"/>
      <c r="AH183" s="646"/>
      <c r="AI183" s="646"/>
      <c r="AJ183" s="646"/>
      <c r="AK183" s="646"/>
    </row>
    <row r="184" spans="1:37">
      <c r="A184" s="646"/>
      <c r="B184" s="646"/>
      <c r="C184" s="646"/>
      <c r="D184" s="646"/>
      <c r="E184" s="646"/>
      <c r="F184" s="646"/>
      <c r="G184" s="646"/>
      <c r="H184" s="646"/>
      <c r="I184" s="646"/>
      <c r="J184" s="646"/>
      <c r="K184" s="646"/>
      <c r="L184" s="646"/>
      <c r="M184" s="646"/>
      <c r="N184" s="646"/>
      <c r="O184" s="646"/>
      <c r="P184" s="646"/>
      <c r="Q184" s="646"/>
      <c r="R184" s="646"/>
      <c r="S184" s="646"/>
      <c r="T184" s="646"/>
      <c r="U184" s="646"/>
      <c r="V184" s="646"/>
      <c r="W184" s="646"/>
      <c r="X184" s="646"/>
      <c r="Y184" s="646"/>
      <c r="Z184" s="646"/>
      <c r="AA184" s="646"/>
      <c r="AB184" s="646"/>
      <c r="AC184" s="646"/>
      <c r="AD184" s="646"/>
      <c r="AE184" s="646"/>
      <c r="AF184" s="646"/>
      <c r="AG184" s="646"/>
      <c r="AH184" s="646"/>
      <c r="AI184" s="646"/>
      <c r="AJ184" s="646"/>
      <c r="AK184" s="646"/>
    </row>
    <row r="185" spans="1:37">
      <c r="A185" s="646"/>
      <c r="B185" s="646"/>
      <c r="C185" s="646"/>
      <c r="D185" s="646"/>
      <c r="E185" s="646"/>
      <c r="F185" s="646"/>
      <c r="G185" s="646"/>
      <c r="H185" s="646"/>
      <c r="I185" s="646"/>
      <c r="J185" s="646"/>
      <c r="K185" s="646"/>
      <c r="L185" s="646"/>
      <c r="M185" s="646"/>
      <c r="N185" s="646"/>
      <c r="O185" s="646"/>
      <c r="P185" s="646"/>
      <c r="Q185" s="646"/>
      <c r="R185" s="646"/>
      <c r="S185" s="646"/>
      <c r="T185" s="646"/>
      <c r="U185" s="646"/>
      <c r="V185" s="646"/>
      <c r="W185" s="646"/>
      <c r="X185" s="646"/>
      <c r="Y185" s="646"/>
      <c r="Z185" s="646"/>
      <c r="AA185" s="646"/>
      <c r="AB185" s="646"/>
      <c r="AC185" s="646"/>
      <c r="AD185" s="646"/>
      <c r="AE185" s="646"/>
      <c r="AF185" s="646"/>
      <c r="AG185" s="646"/>
      <c r="AH185" s="646"/>
      <c r="AI185" s="646"/>
      <c r="AJ185" s="646"/>
      <c r="AK185" s="646"/>
    </row>
    <row r="186" spans="1:37">
      <c r="A186" s="646"/>
      <c r="B186" s="646"/>
      <c r="C186" s="646"/>
      <c r="D186" s="646"/>
      <c r="E186" s="646"/>
      <c r="F186" s="646"/>
      <c r="G186" s="646"/>
      <c r="H186" s="646"/>
      <c r="I186" s="646"/>
      <c r="J186" s="646"/>
      <c r="K186" s="646"/>
      <c r="L186" s="646"/>
      <c r="M186" s="646"/>
      <c r="N186" s="646"/>
      <c r="O186" s="646"/>
      <c r="P186" s="646"/>
      <c r="Q186" s="646"/>
      <c r="R186" s="646"/>
      <c r="S186" s="646"/>
      <c r="T186" s="646"/>
      <c r="U186" s="646"/>
      <c r="V186" s="646"/>
      <c r="W186" s="646"/>
      <c r="X186" s="646"/>
      <c r="Y186" s="646"/>
      <c r="Z186" s="646"/>
      <c r="AA186" s="646"/>
      <c r="AB186" s="646"/>
      <c r="AC186" s="646"/>
      <c r="AD186" s="646"/>
      <c r="AE186" s="646"/>
      <c r="AF186" s="646"/>
      <c r="AG186" s="646"/>
      <c r="AH186" s="646"/>
      <c r="AI186" s="646"/>
      <c r="AJ186" s="646"/>
      <c r="AK186" s="646"/>
    </row>
    <row r="187" spans="1:37">
      <c r="A187" s="646"/>
      <c r="B187" s="646"/>
      <c r="C187" s="646"/>
      <c r="D187" s="646"/>
      <c r="E187" s="646"/>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row>
    <row r="188" spans="1:37">
      <c r="A188" s="646"/>
      <c r="B188" s="646"/>
      <c r="C188" s="646"/>
      <c r="D188" s="646"/>
      <c r="E188" s="646"/>
      <c r="F188" s="646"/>
      <c r="G188" s="646"/>
      <c r="H188" s="646"/>
      <c r="I188" s="646"/>
      <c r="J188" s="646"/>
      <c r="K188" s="646"/>
      <c r="L188" s="646"/>
      <c r="M188" s="646"/>
      <c r="N188" s="646"/>
      <c r="O188" s="646"/>
      <c r="P188" s="646"/>
      <c r="Q188" s="646"/>
      <c r="R188" s="646"/>
      <c r="S188" s="646"/>
      <c r="T188" s="646"/>
      <c r="U188" s="646"/>
      <c r="V188" s="646"/>
      <c r="W188" s="646"/>
      <c r="X188" s="646"/>
      <c r="Y188" s="646"/>
      <c r="Z188" s="646"/>
      <c r="AA188" s="646"/>
      <c r="AB188" s="646"/>
      <c r="AC188" s="646"/>
      <c r="AD188" s="646"/>
      <c r="AE188" s="646"/>
      <c r="AF188" s="646"/>
      <c r="AG188" s="646"/>
      <c r="AH188" s="646"/>
      <c r="AI188" s="646"/>
      <c r="AJ188" s="646"/>
      <c r="AK188" s="646"/>
    </row>
    <row r="189" spans="1:37">
      <c r="A189" s="646"/>
      <c r="B189" s="646"/>
      <c r="C189" s="646"/>
      <c r="D189" s="646"/>
      <c r="E189" s="646"/>
      <c r="F189" s="646"/>
      <c r="G189" s="646"/>
      <c r="H189" s="646"/>
      <c r="I189" s="646"/>
      <c r="J189" s="646"/>
      <c r="K189" s="646"/>
      <c r="L189" s="646"/>
      <c r="M189" s="646"/>
      <c r="N189" s="646"/>
      <c r="O189" s="646"/>
      <c r="P189" s="646"/>
      <c r="Q189" s="646"/>
      <c r="R189" s="646"/>
      <c r="S189" s="646"/>
      <c r="T189" s="646"/>
      <c r="U189" s="646"/>
      <c r="V189" s="646"/>
      <c r="W189" s="646"/>
      <c r="X189" s="646"/>
      <c r="Y189" s="646"/>
      <c r="Z189" s="646"/>
      <c r="AA189" s="646"/>
      <c r="AB189" s="646"/>
      <c r="AC189" s="646"/>
      <c r="AD189" s="646"/>
      <c r="AE189" s="646"/>
      <c r="AF189" s="646"/>
      <c r="AG189" s="646"/>
      <c r="AH189" s="646"/>
      <c r="AI189" s="646"/>
      <c r="AJ189" s="646"/>
      <c r="AK189" s="646"/>
    </row>
    <row r="190" spans="1:37">
      <c r="A190" s="646"/>
      <c r="B190" s="646"/>
      <c r="C190" s="646"/>
      <c r="D190" s="646"/>
      <c r="E190" s="646"/>
      <c r="F190" s="646"/>
      <c r="G190" s="646"/>
      <c r="H190" s="646"/>
      <c r="I190" s="646"/>
      <c r="J190" s="646"/>
      <c r="K190" s="646"/>
      <c r="L190" s="646"/>
      <c r="M190" s="646"/>
      <c r="N190" s="646"/>
      <c r="O190" s="646"/>
      <c r="P190" s="646"/>
      <c r="Q190" s="646"/>
      <c r="R190" s="646"/>
      <c r="S190" s="646"/>
      <c r="T190" s="646"/>
      <c r="U190" s="646"/>
      <c r="V190" s="646"/>
      <c r="W190" s="646"/>
      <c r="X190" s="646"/>
      <c r="Y190" s="646"/>
      <c r="Z190" s="646"/>
      <c r="AA190" s="646"/>
      <c r="AB190" s="646"/>
      <c r="AC190" s="646"/>
      <c r="AD190" s="646"/>
      <c r="AE190" s="646"/>
      <c r="AF190" s="646"/>
      <c r="AG190" s="646"/>
      <c r="AH190" s="646"/>
      <c r="AI190" s="646"/>
      <c r="AJ190" s="646"/>
      <c r="AK190" s="646"/>
    </row>
    <row r="191" spans="1:37">
      <c r="A191" s="646"/>
      <c r="B191" s="646"/>
      <c r="C191" s="646"/>
      <c r="D191" s="646"/>
      <c r="E191" s="646"/>
      <c r="F191" s="646"/>
      <c r="G191" s="646"/>
      <c r="H191" s="646"/>
      <c r="I191" s="646"/>
      <c r="J191" s="646"/>
      <c r="K191" s="646"/>
      <c r="L191" s="646"/>
      <c r="M191" s="646"/>
      <c r="N191" s="646"/>
      <c r="O191" s="646"/>
      <c r="P191" s="646"/>
      <c r="Q191" s="646"/>
      <c r="R191" s="646"/>
      <c r="S191" s="646"/>
      <c r="T191" s="646"/>
      <c r="U191" s="646"/>
      <c r="V191" s="646"/>
      <c r="W191" s="646"/>
      <c r="X191" s="646"/>
      <c r="Y191" s="646"/>
      <c r="Z191" s="646"/>
      <c r="AA191" s="646"/>
      <c r="AB191" s="646"/>
      <c r="AC191" s="646"/>
      <c r="AD191" s="646"/>
      <c r="AE191" s="646"/>
      <c r="AF191" s="646"/>
      <c r="AG191" s="646"/>
      <c r="AH191" s="646"/>
      <c r="AI191" s="646"/>
      <c r="AJ191" s="646"/>
      <c r="AK191" s="646"/>
    </row>
    <row r="192" spans="1:37">
      <c r="A192" s="646"/>
      <c r="B192" s="646"/>
      <c r="C192" s="646"/>
      <c r="D192" s="646"/>
      <c r="E192" s="646"/>
      <c r="F192" s="646"/>
      <c r="G192" s="646"/>
      <c r="H192" s="646"/>
      <c r="I192" s="646"/>
      <c r="J192" s="646"/>
      <c r="K192" s="646"/>
      <c r="L192" s="646"/>
      <c r="M192" s="646"/>
      <c r="N192" s="646"/>
      <c r="O192" s="646"/>
      <c r="P192" s="646"/>
      <c r="Q192" s="646"/>
      <c r="R192" s="646"/>
      <c r="S192" s="646"/>
      <c r="T192" s="646"/>
      <c r="U192" s="646"/>
      <c r="V192" s="646"/>
      <c r="W192" s="646"/>
      <c r="X192" s="646"/>
      <c r="Y192" s="646"/>
      <c r="Z192" s="646"/>
      <c r="AA192" s="646"/>
      <c r="AB192" s="646"/>
      <c r="AC192" s="646"/>
      <c r="AD192" s="646"/>
      <c r="AE192" s="646"/>
      <c r="AF192" s="646"/>
      <c r="AG192" s="646"/>
      <c r="AH192" s="646"/>
      <c r="AI192" s="646"/>
      <c r="AJ192" s="646"/>
      <c r="AK192" s="646"/>
    </row>
    <row r="193" spans="1:37">
      <c r="A193" s="646"/>
      <c r="B193" s="646"/>
      <c r="C193" s="646"/>
      <c r="D193" s="646"/>
      <c r="E193" s="646"/>
      <c r="F193" s="646"/>
      <c r="G193" s="646"/>
      <c r="H193" s="646"/>
      <c r="I193" s="646"/>
      <c r="J193" s="646"/>
      <c r="K193" s="646"/>
      <c r="L193" s="646"/>
      <c r="M193" s="646"/>
      <c r="N193" s="646"/>
      <c r="O193" s="646"/>
      <c r="P193" s="646"/>
      <c r="Q193" s="646"/>
      <c r="R193" s="646"/>
      <c r="S193" s="646"/>
      <c r="T193" s="646"/>
      <c r="U193" s="646"/>
      <c r="V193" s="646"/>
      <c r="W193" s="646"/>
      <c r="X193" s="646"/>
      <c r="Y193" s="646"/>
      <c r="Z193" s="646"/>
      <c r="AA193" s="646"/>
      <c r="AB193" s="646"/>
      <c r="AC193" s="646"/>
      <c r="AD193" s="646"/>
      <c r="AE193" s="646"/>
      <c r="AF193" s="646"/>
      <c r="AG193" s="646"/>
      <c r="AH193" s="646"/>
      <c r="AI193" s="646"/>
      <c r="AJ193" s="646"/>
      <c r="AK193" s="646"/>
    </row>
    <row r="194" spans="1:37">
      <c r="A194" s="646"/>
      <c r="B194" s="646"/>
      <c r="C194" s="646"/>
      <c r="D194" s="646"/>
      <c r="E194" s="646"/>
      <c r="F194" s="646"/>
      <c r="G194" s="646"/>
      <c r="H194" s="646"/>
      <c r="I194" s="646"/>
      <c r="J194" s="646"/>
      <c r="K194" s="646"/>
      <c r="L194" s="646"/>
      <c r="M194" s="646"/>
      <c r="N194" s="646"/>
      <c r="O194" s="646"/>
      <c r="P194" s="646"/>
      <c r="Q194" s="646"/>
      <c r="R194" s="646"/>
      <c r="S194" s="646"/>
      <c r="T194" s="646"/>
      <c r="U194" s="646"/>
      <c r="V194" s="646"/>
      <c r="W194" s="646"/>
      <c r="X194" s="646"/>
      <c r="Y194" s="646"/>
      <c r="Z194" s="646"/>
      <c r="AA194" s="646"/>
      <c r="AB194" s="646"/>
      <c r="AC194" s="646"/>
      <c r="AD194" s="646"/>
      <c r="AE194" s="646"/>
      <c r="AF194" s="646"/>
      <c r="AG194" s="646"/>
      <c r="AH194" s="646"/>
      <c r="AI194" s="646"/>
      <c r="AJ194" s="646"/>
      <c r="AK194" s="646"/>
    </row>
    <row r="195" spans="1:37">
      <c r="A195" s="646"/>
      <c r="B195" s="646"/>
      <c r="C195" s="646"/>
      <c r="D195" s="646"/>
      <c r="E195" s="646"/>
      <c r="F195" s="646"/>
      <c r="G195" s="646"/>
      <c r="H195" s="646"/>
      <c r="I195" s="646"/>
      <c r="J195" s="646"/>
      <c r="K195" s="646"/>
      <c r="L195" s="646"/>
      <c r="M195" s="646"/>
      <c r="N195" s="646"/>
      <c r="O195" s="646"/>
      <c r="P195" s="646"/>
      <c r="Q195" s="646"/>
      <c r="R195" s="646"/>
      <c r="S195" s="646"/>
      <c r="T195" s="646"/>
      <c r="U195" s="646"/>
      <c r="V195" s="646"/>
      <c r="W195" s="646"/>
      <c r="X195" s="646"/>
      <c r="Y195" s="646"/>
      <c r="Z195" s="646"/>
      <c r="AA195" s="646"/>
      <c r="AB195" s="646"/>
      <c r="AC195" s="646"/>
      <c r="AD195" s="646"/>
      <c r="AE195" s="646"/>
      <c r="AF195" s="646"/>
      <c r="AG195" s="646"/>
      <c r="AH195" s="646"/>
      <c r="AI195" s="646"/>
      <c r="AJ195" s="646"/>
      <c r="AK195" s="646"/>
    </row>
    <row r="196" spans="1:37">
      <c r="A196" s="646"/>
      <c r="B196" s="646"/>
      <c r="C196" s="646"/>
      <c r="D196" s="646"/>
      <c r="E196" s="646"/>
      <c r="F196" s="646"/>
      <c r="G196" s="646"/>
      <c r="H196" s="646"/>
      <c r="I196" s="646"/>
      <c r="J196" s="646"/>
      <c r="K196" s="646"/>
      <c r="L196" s="646"/>
      <c r="M196" s="646"/>
      <c r="N196" s="646"/>
      <c r="O196" s="646"/>
      <c r="P196" s="646"/>
      <c r="Q196" s="646"/>
      <c r="R196" s="646"/>
      <c r="S196" s="646"/>
      <c r="T196" s="646"/>
      <c r="U196" s="646"/>
      <c r="V196" s="646"/>
      <c r="W196" s="646"/>
      <c r="X196" s="646"/>
      <c r="Y196" s="646"/>
      <c r="Z196" s="646"/>
      <c r="AA196" s="646"/>
      <c r="AB196" s="646"/>
      <c r="AC196" s="646"/>
      <c r="AD196" s="646"/>
      <c r="AE196" s="646"/>
      <c r="AF196" s="646"/>
      <c r="AG196" s="646"/>
      <c r="AH196" s="646"/>
      <c r="AI196" s="646"/>
      <c r="AJ196" s="646"/>
      <c r="AK196" s="646"/>
    </row>
    <row r="197" spans="1:37">
      <c r="A197" s="646"/>
      <c r="B197" s="646"/>
      <c r="C197" s="646"/>
      <c r="D197" s="646"/>
      <c r="E197" s="646"/>
      <c r="F197" s="646"/>
      <c r="G197" s="646"/>
      <c r="H197" s="646"/>
      <c r="I197" s="646"/>
      <c r="J197" s="646"/>
      <c r="K197" s="646"/>
      <c r="L197" s="646"/>
      <c r="M197" s="646"/>
      <c r="N197" s="646"/>
      <c r="O197" s="646"/>
      <c r="P197" s="646"/>
      <c r="Q197" s="646"/>
      <c r="R197" s="646"/>
      <c r="S197" s="646"/>
      <c r="T197" s="646"/>
      <c r="U197" s="646"/>
      <c r="V197" s="646"/>
      <c r="W197" s="646"/>
      <c r="X197" s="646"/>
      <c r="Y197" s="646"/>
      <c r="Z197" s="646"/>
      <c r="AA197" s="646"/>
      <c r="AB197" s="646"/>
      <c r="AC197" s="646"/>
      <c r="AD197" s="646"/>
      <c r="AE197" s="646"/>
      <c r="AF197" s="646"/>
      <c r="AG197" s="646"/>
      <c r="AH197" s="646"/>
      <c r="AI197" s="646"/>
      <c r="AJ197" s="646"/>
      <c r="AK197" s="646"/>
    </row>
    <row r="198" spans="1:37">
      <c r="A198" s="646"/>
      <c r="B198" s="646"/>
      <c r="C198" s="646"/>
      <c r="D198" s="646"/>
      <c r="E198" s="646"/>
      <c r="F198" s="646"/>
      <c r="G198" s="646"/>
      <c r="H198" s="646"/>
      <c r="I198" s="646"/>
      <c r="J198" s="646"/>
      <c r="K198" s="646"/>
      <c r="L198" s="646"/>
      <c r="M198" s="646"/>
      <c r="N198" s="646"/>
      <c r="O198" s="646"/>
      <c r="P198" s="646"/>
      <c r="Q198" s="646"/>
      <c r="R198" s="646"/>
      <c r="S198" s="646"/>
      <c r="T198" s="646"/>
      <c r="U198" s="646"/>
      <c r="V198" s="646"/>
      <c r="W198" s="646"/>
      <c r="X198" s="646"/>
      <c r="Y198" s="646"/>
      <c r="Z198" s="646"/>
      <c r="AA198" s="646"/>
      <c r="AB198" s="646"/>
      <c r="AC198" s="646"/>
      <c r="AD198" s="646"/>
      <c r="AE198" s="646"/>
      <c r="AF198" s="646"/>
      <c r="AG198" s="646"/>
      <c r="AH198" s="646"/>
      <c r="AI198" s="646"/>
      <c r="AJ198" s="646"/>
      <c r="AK198" s="646"/>
    </row>
    <row r="199" spans="1:37">
      <c r="A199" s="646"/>
      <c r="B199" s="646"/>
      <c r="C199" s="646"/>
      <c r="D199" s="646"/>
      <c r="E199" s="646"/>
      <c r="F199" s="646"/>
      <c r="G199" s="646"/>
      <c r="H199" s="646"/>
      <c r="I199" s="646"/>
      <c r="J199" s="646"/>
      <c r="K199" s="646"/>
      <c r="L199" s="646"/>
      <c r="M199" s="646"/>
      <c r="N199" s="646"/>
      <c r="O199" s="646"/>
      <c r="P199" s="646"/>
      <c r="Q199" s="646"/>
      <c r="R199" s="646"/>
      <c r="S199" s="646"/>
      <c r="T199" s="646"/>
      <c r="U199" s="646"/>
      <c r="V199" s="646"/>
      <c r="W199" s="646"/>
      <c r="X199" s="646"/>
      <c r="Y199" s="646"/>
      <c r="Z199" s="646"/>
      <c r="AA199" s="646"/>
      <c r="AB199" s="646"/>
      <c r="AC199" s="646"/>
      <c r="AD199" s="646"/>
      <c r="AE199" s="646"/>
      <c r="AF199" s="646"/>
      <c r="AG199" s="646"/>
      <c r="AH199" s="646"/>
      <c r="AI199" s="646"/>
      <c r="AJ199" s="646"/>
      <c r="AK199" s="646"/>
    </row>
    <row r="200" spans="1:37">
      <c r="A200" s="646"/>
      <c r="B200" s="646"/>
      <c r="C200" s="646"/>
      <c r="D200" s="646"/>
      <c r="E200" s="646"/>
      <c r="F200" s="646"/>
      <c r="G200" s="646"/>
      <c r="H200" s="646"/>
      <c r="I200" s="646"/>
      <c r="J200" s="646"/>
      <c r="K200" s="646"/>
      <c r="L200" s="646"/>
      <c r="M200" s="646"/>
      <c r="N200" s="646"/>
      <c r="O200" s="646"/>
      <c r="P200" s="646"/>
      <c r="Q200" s="646"/>
      <c r="R200" s="646"/>
      <c r="S200" s="646"/>
      <c r="T200" s="646"/>
      <c r="U200" s="646"/>
      <c r="V200" s="646"/>
      <c r="W200" s="646"/>
      <c r="X200" s="646"/>
      <c r="Y200" s="646"/>
      <c r="Z200" s="646"/>
      <c r="AA200" s="646"/>
      <c r="AB200" s="646"/>
      <c r="AC200" s="646"/>
      <c r="AD200" s="646"/>
      <c r="AE200" s="646"/>
      <c r="AF200" s="646"/>
      <c r="AG200" s="646"/>
      <c r="AH200" s="646"/>
      <c r="AI200" s="646"/>
      <c r="AJ200" s="646"/>
      <c r="AK200" s="646"/>
    </row>
    <row r="201" spans="1:37">
      <c r="A201" s="646"/>
      <c r="B201" s="646"/>
      <c r="C201" s="646"/>
      <c r="D201" s="646"/>
      <c r="E201" s="646"/>
      <c r="F201" s="646"/>
      <c r="G201" s="646"/>
      <c r="H201" s="646"/>
      <c r="I201" s="646"/>
      <c r="J201" s="646"/>
      <c r="K201" s="646"/>
      <c r="L201" s="646"/>
      <c r="M201" s="646"/>
      <c r="N201" s="646"/>
      <c r="O201" s="646"/>
      <c r="P201" s="646"/>
      <c r="Q201" s="646"/>
      <c r="R201" s="646"/>
      <c r="S201" s="646"/>
      <c r="T201" s="646"/>
      <c r="U201" s="646"/>
      <c r="V201" s="646"/>
      <c r="W201" s="646"/>
      <c r="X201" s="646"/>
      <c r="Y201" s="646"/>
      <c r="Z201" s="646"/>
      <c r="AA201" s="646"/>
      <c r="AB201" s="646"/>
      <c r="AC201" s="646"/>
      <c r="AD201" s="646"/>
      <c r="AE201" s="646"/>
      <c r="AF201" s="646"/>
      <c r="AG201" s="646"/>
      <c r="AH201" s="646"/>
      <c r="AI201" s="646"/>
      <c r="AJ201" s="646"/>
      <c r="AK201" s="646"/>
    </row>
    <row r="202" spans="1:37">
      <c r="A202" s="646"/>
      <c r="B202" s="646"/>
      <c r="C202" s="646"/>
      <c r="D202" s="646"/>
      <c r="E202" s="646"/>
      <c r="F202" s="646"/>
      <c r="G202" s="646"/>
      <c r="H202" s="646"/>
      <c r="I202" s="646"/>
      <c r="J202" s="646"/>
      <c r="K202" s="646"/>
      <c r="L202" s="646"/>
      <c r="M202" s="646"/>
      <c r="N202" s="646"/>
      <c r="O202" s="646"/>
      <c r="P202" s="646"/>
      <c r="Q202" s="646"/>
      <c r="R202" s="646"/>
      <c r="S202" s="646"/>
      <c r="T202" s="646"/>
      <c r="U202" s="646"/>
      <c r="V202" s="646"/>
      <c r="W202" s="646"/>
      <c r="X202" s="646"/>
      <c r="Y202" s="646"/>
      <c r="Z202" s="646"/>
      <c r="AA202" s="646"/>
      <c r="AB202" s="646"/>
      <c r="AC202" s="646"/>
      <c r="AD202" s="646"/>
      <c r="AE202" s="646"/>
      <c r="AF202" s="646"/>
      <c r="AG202" s="646"/>
      <c r="AH202" s="646"/>
      <c r="AI202" s="646"/>
      <c r="AJ202" s="646"/>
      <c r="AK202" s="646"/>
    </row>
    <row r="203" spans="1:37">
      <c r="A203" s="646"/>
      <c r="B203" s="646"/>
      <c r="C203" s="646"/>
      <c r="D203" s="646"/>
      <c r="E203" s="646"/>
      <c r="F203" s="646"/>
      <c r="G203" s="646"/>
      <c r="H203" s="646"/>
      <c r="I203" s="646"/>
      <c r="J203" s="646"/>
      <c r="K203" s="646"/>
      <c r="L203" s="646"/>
      <c r="M203" s="646"/>
      <c r="N203" s="646"/>
      <c r="O203" s="646"/>
      <c r="P203" s="646"/>
      <c r="Q203" s="646"/>
      <c r="R203" s="646"/>
      <c r="S203" s="646"/>
      <c r="T203" s="646"/>
      <c r="U203" s="646"/>
      <c r="V203" s="646"/>
      <c r="W203" s="646"/>
      <c r="X203" s="646"/>
      <c r="Y203" s="646"/>
      <c r="Z203" s="646"/>
      <c r="AA203" s="646"/>
      <c r="AB203" s="646"/>
      <c r="AC203" s="646"/>
      <c r="AD203" s="646"/>
      <c r="AE203" s="646"/>
      <c r="AF203" s="646"/>
      <c r="AG203" s="646"/>
      <c r="AH203" s="646"/>
      <c r="AI203" s="646"/>
      <c r="AJ203" s="646"/>
      <c r="AK203" s="646"/>
    </row>
    <row r="204" spans="1:37">
      <c r="A204" s="646"/>
      <c r="B204" s="646"/>
      <c r="C204" s="646"/>
      <c r="D204" s="646"/>
      <c r="E204" s="646"/>
      <c r="F204" s="646"/>
      <c r="G204" s="646"/>
      <c r="H204" s="646"/>
      <c r="I204" s="646"/>
      <c r="J204" s="646"/>
      <c r="K204" s="646"/>
      <c r="L204" s="646"/>
      <c r="M204" s="646"/>
      <c r="N204" s="646"/>
      <c r="O204" s="646"/>
      <c r="P204" s="646"/>
      <c r="Q204" s="646"/>
      <c r="R204" s="646"/>
      <c r="S204" s="646"/>
      <c r="T204" s="646"/>
      <c r="U204" s="646"/>
      <c r="V204" s="646"/>
      <c r="W204" s="646"/>
      <c r="X204" s="646"/>
      <c r="Y204" s="646"/>
      <c r="Z204" s="646"/>
      <c r="AA204" s="646"/>
      <c r="AB204" s="646"/>
      <c r="AC204" s="646"/>
      <c r="AD204" s="646"/>
      <c r="AE204" s="646"/>
      <c r="AF204" s="646"/>
      <c r="AG204" s="646"/>
      <c r="AH204" s="646"/>
      <c r="AI204" s="646"/>
      <c r="AJ204" s="646"/>
      <c r="AK204" s="646"/>
    </row>
    <row r="205" spans="1:37">
      <c r="A205" s="646"/>
      <c r="B205" s="646"/>
      <c r="C205" s="646"/>
      <c r="D205" s="646"/>
      <c r="E205" s="646"/>
      <c r="F205" s="646"/>
      <c r="G205" s="646"/>
      <c r="H205" s="646"/>
      <c r="I205" s="646"/>
      <c r="J205" s="646"/>
      <c r="K205" s="646"/>
      <c r="L205" s="646"/>
      <c r="M205" s="646"/>
      <c r="N205" s="646"/>
      <c r="O205" s="646"/>
      <c r="P205" s="646"/>
      <c r="Q205" s="646"/>
      <c r="R205" s="646"/>
      <c r="S205" s="646"/>
      <c r="T205" s="646"/>
      <c r="U205" s="646"/>
      <c r="V205" s="646"/>
      <c r="W205" s="646"/>
      <c r="X205" s="646"/>
      <c r="Y205" s="646"/>
      <c r="Z205" s="646"/>
      <c r="AA205" s="646"/>
      <c r="AB205" s="646"/>
      <c r="AC205" s="646"/>
      <c r="AD205" s="646"/>
      <c r="AE205" s="646"/>
      <c r="AF205" s="646"/>
      <c r="AG205" s="646"/>
      <c r="AH205" s="646"/>
      <c r="AI205" s="646"/>
      <c r="AJ205" s="646"/>
      <c r="AK205" s="646"/>
    </row>
    <row r="206" spans="1:37">
      <c r="A206" s="646"/>
      <c r="B206" s="646"/>
      <c r="C206" s="646"/>
      <c r="D206" s="646"/>
      <c r="E206" s="646"/>
      <c r="F206" s="646"/>
      <c r="G206" s="646"/>
      <c r="H206" s="646"/>
      <c r="I206" s="646"/>
      <c r="J206" s="646"/>
      <c r="K206" s="646"/>
      <c r="L206" s="646"/>
      <c r="M206" s="646"/>
      <c r="N206" s="646"/>
      <c r="O206" s="646"/>
      <c r="P206" s="646"/>
      <c r="Q206" s="646"/>
      <c r="R206" s="646"/>
      <c r="S206" s="646"/>
      <c r="T206" s="646"/>
      <c r="U206" s="646"/>
      <c r="V206" s="646"/>
      <c r="W206" s="646"/>
      <c r="X206" s="646"/>
      <c r="Y206" s="646"/>
      <c r="Z206" s="646"/>
      <c r="AA206" s="646"/>
      <c r="AB206" s="646"/>
      <c r="AC206" s="646"/>
      <c r="AD206" s="646"/>
      <c r="AE206" s="646"/>
      <c r="AF206" s="646"/>
      <c r="AG206" s="646"/>
      <c r="AH206" s="646"/>
      <c r="AI206" s="646"/>
      <c r="AJ206" s="646"/>
      <c r="AK206" s="646"/>
    </row>
    <row r="207" spans="1:37">
      <c r="A207" s="646"/>
      <c r="B207" s="646"/>
      <c r="C207" s="646"/>
      <c r="D207" s="646"/>
      <c r="E207" s="646"/>
      <c r="F207" s="646"/>
      <c r="G207" s="646"/>
      <c r="H207" s="646"/>
      <c r="I207" s="646"/>
      <c r="J207" s="646"/>
      <c r="K207" s="646"/>
      <c r="L207" s="646"/>
      <c r="M207" s="646"/>
      <c r="N207" s="646"/>
      <c r="O207" s="646"/>
      <c r="P207" s="646"/>
      <c r="Q207" s="646"/>
      <c r="R207" s="646"/>
      <c r="S207" s="646"/>
      <c r="T207" s="646"/>
      <c r="U207" s="646"/>
      <c r="V207" s="646"/>
      <c r="W207" s="646"/>
      <c r="X207" s="646"/>
      <c r="Y207" s="646"/>
      <c r="Z207" s="646"/>
      <c r="AA207" s="646"/>
      <c r="AB207" s="646"/>
      <c r="AC207" s="646"/>
      <c r="AD207" s="646"/>
      <c r="AE207" s="646"/>
      <c r="AF207" s="646"/>
      <c r="AG207" s="646"/>
      <c r="AH207" s="646"/>
      <c r="AI207" s="646"/>
      <c r="AJ207" s="646"/>
      <c r="AK207" s="646"/>
    </row>
    <row r="208" spans="1:37">
      <c r="A208" s="646"/>
      <c r="B208" s="646"/>
      <c r="C208" s="646"/>
      <c r="D208" s="646"/>
      <c r="E208" s="646"/>
      <c r="F208" s="646"/>
      <c r="G208" s="646"/>
      <c r="H208" s="646"/>
      <c r="I208" s="646"/>
      <c r="J208" s="646"/>
      <c r="K208" s="646"/>
      <c r="L208" s="646"/>
      <c r="M208" s="646"/>
      <c r="N208" s="646"/>
      <c r="O208" s="646"/>
      <c r="P208" s="646"/>
      <c r="Q208" s="646"/>
      <c r="R208" s="646"/>
      <c r="S208" s="646"/>
      <c r="T208" s="646"/>
      <c r="U208" s="646"/>
      <c r="V208" s="646"/>
      <c r="W208" s="646"/>
      <c r="X208" s="646"/>
      <c r="Y208" s="646"/>
      <c r="Z208" s="646"/>
      <c r="AA208" s="646"/>
      <c r="AB208" s="646"/>
      <c r="AC208" s="646"/>
      <c r="AD208" s="646"/>
      <c r="AE208" s="646"/>
      <c r="AF208" s="646"/>
      <c r="AG208" s="646"/>
      <c r="AH208" s="646"/>
      <c r="AI208" s="646"/>
      <c r="AJ208" s="646"/>
      <c r="AK208" s="646"/>
    </row>
    <row r="209" spans="1:37">
      <c r="A209" s="646"/>
      <c r="B209" s="646"/>
      <c r="C209" s="646"/>
      <c r="D209" s="646"/>
      <c r="E209" s="646"/>
      <c r="F209" s="646"/>
      <c r="G209" s="646"/>
      <c r="H209" s="646"/>
      <c r="I209" s="646"/>
      <c r="J209" s="646"/>
      <c r="K209" s="646"/>
      <c r="L209" s="646"/>
      <c r="M209" s="646"/>
      <c r="N209" s="646"/>
      <c r="O209" s="646"/>
      <c r="P209" s="646"/>
      <c r="Q209" s="646"/>
      <c r="R209" s="646"/>
      <c r="S209" s="646"/>
      <c r="T209" s="646"/>
      <c r="U209" s="646"/>
      <c r="V209" s="646"/>
      <c r="W209" s="646"/>
      <c r="X209" s="646"/>
      <c r="Y209" s="646"/>
      <c r="Z209" s="646"/>
      <c r="AA209" s="646"/>
      <c r="AB209" s="646"/>
      <c r="AC209" s="646"/>
      <c r="AD209" s="646"/>
      <c r="AE209" s="646"/>
      <c r="AF209" s="646"/>
      <c r="AG209" s="646"/>
      <c r="AH209" s="646"/>
      <c r="AI209" s="646"/>
      <c r="AJ209" s="646"/>
      <c r="AK209" s="646"/>
    </row>
    <row r="210" spans="1:37">
      <c r="A210" s="646"/>
      <c r="B210" s="646"/>
      <c r="C210" s="646"/>
      <c r="D210" s="646"/>
      <c r="E210" s="646"/>
      <c r="F210" s="646"/>
      <c r="G210" s="646"/>
      <c r="H210" s="646"/>
      <c r="I210" s="646"/>
      <c r="J210" s="646"/>
      <c r="K210" s="646"/>
      <c r="L210" s="646"/>
      <c r="M210" s="646"/>
      <c r="N210" s="646"/>
      <c r="O210" s="646"/>
      <c r="P210" s="646"/>
      <c r="Q210" s="646"/>
      <c r="R210" s="646"/>
      <c r="S210" s="646"/>
      <c r="T210" s="646"/>
      <c r="U210" s="646"/>
      <c r="V210" s="646"/>
      <c r="W210" s="646"/>
      <c r="X210" s="646"/>
      <c r="Y210" s="646"/>
      <c r="Z210" s="646"/>
      <c r="AA210" s="646"/>
      <c r="AB210" s="646"/>
      <c r="AC210" s="646"/>
      <c r="AD210" s="646"/>
      <c r="AE210" s="646"/>
      <c r="AF210" s="646"/>
      <c r="AG210" s="646"/>
      <c r="AH210" s="646"/>
      <c r="AI210" s="646"/>
      <c r="AJ210" s="646"/>
      <c r="AK210" s="646"/>
    </row>
    <row r="211" spans="1:37">
      <c r="A211" s="646"/>
      <c r="B211" s="646"/>
      <c r="C211" s="646"/>
      <c r="D211" s="646"/>
      <c r="E211" s="646"/>
      <c r="F211" s="646"/>
      <c r="G211" s="646"/>
      <c r="H211" s="646"/>
      <c r="I211" s="646"/>
      <c r="J211" s="646"/>
      <c r="K211" s="646"/>
      <c r="L211" s="646"/>
      <c r="M211" s="646"/>
      <c r="N211" s="646"/>
      <c r="O211" s="646"/>
      <c r="P211" s="646"/>
      <c r="Q211" s="646"/>
      <c r="R211" s="646"/>
      <c r="S211" s="646"/>
      <c r="T211" s="646"/>
      <c r="U211" s="646"/>
      <c r="V211" s="646"/>
      <c r="W211" s="646"/>
      <c r="X211" s="646"/>
      <c r="Y211" s="646"/>
      <c r="Z211" s="646"/>
      <c r="AA211" s="646"/>
      <c r="AB211" s="646"/>
      <c r="AC211" s="646"/>
      <c r="AD211" s="646"/>
      <c r="AE211" s="646"/>
      <c r="AF211" s="646"/>
      <c r="AG211" s="646"/>
      <c r="AH211" s="646"/>
      <c r="AI211" s="646"/>
      <c r="AJ211" s="646"/>
      <c r="AK211" s="646"/>
    </row>
    <row r="212" spans="1:37">
      <c r="A212" s="646"/>
      <c r="B212" s="646"/>
      <c r="C212" s="646"/>
      <c r="D212" s="646"/>
      <c r="E212" s="646"/>
      <c r="F212" s="646"/>
      <c r="G212" s="646"/>
      <c r="H212" s="646"/>
      <c r="I212" s="646"/>
      <c r="J212" s="646"/>
      <c r="K212" s="646"/>
      <c r="L212" s="646"/>
      <c r="M212" s="646"/>
      <c r="N212" s="646"/>
      <c r="O212" s="646"/>
      <c r="P212" s="646"/>
      <c r="Q212" s="646"/>
      <c r="R212" s="646"/>
      <c r="S212" s="646"/>
      <c r="T212" s="646"/>
      <c r="U212" s="646"/>
      <c r="V212" s="646"/>
      <c r="W212" s="646"/>
      <c r="X212" s="646"/>
      <c r="Y212" s="646"/>
      <c r="Z212" s="646"/>
      <c r="AA212" s="646"/>
      <c r="AB212" s="646"/>
      <c r="AC212" s="646"/>
      <c r="AD212" s="646"/>
      <c r="AE212" s="646"/>
      <c r="AF212" s="646"/>
      <c r="AG212" s="646"/>
      <c r="AH212" s="646"/>
      <c r="AI212" s="646"/>
      <c r="AJ212" s="646"/>
      <c r="AK212" s="646"/>
    </row>
    <row r="213" spans="1:37">
      <c r="B213" s="646"/>
      <c r="C213" s="646"/>
      <c r="D213" s="646"/>
      <c r="E213" s="646"/>
      <c r="F213" s="646"/>
      <c r="G213" s="646"/>
      <c r="H213" s="646"/>
      <c r="I213" s="646"/>
      <c r="J213" s="646"/>
      <c r="K213" s="646"/>
      <c r="L213" s="646"/>
    </row>
    <row r="214" spans="1:37">
      <c r="B214" s="646"/>
      <c r="C214" s="646"/>
      <c r="D214" s="646"/>
      <c r="E214" s="646"/>
      <c r="F214" s="646"/>
      <c r="G214" s="646"/>
      <c r="H214" s="646"/>
      <c r="I214" s="646"/>
      <c r="J214" s="646"/>
      <c r="K214" s="646"/>
      <c r="L214" s="646"/>
    </row>
    <row r="215" spans="1:37">
      <c r="B215" s="646"/>
      <c r="C215" s="646"/>
      <c r="D215" s="646"/>
      <c r="E215" s="646"/>
      <c r="F215" s="646"/>
      <c r="G215" s="646"/>
      <c r="H215" s="646"/>
      <c r="I215" s="646"/>
      <c r="J215" s="646"/>
      <c r="K215" s="646"/>
      <c r="L215" s="646"/>
    </row>
    <row r="216" spans="1:37">
      <c r="B216" s="646"/>
      <c r="C216" s="646"/>
      <c r="D216" s="646"/>
      <c r="E216" s="646"/>
      <c r="F216" s="646"/>
      <c r="G216" s="646"/>
      <c r="H216" s="646"/>
      <c r="I216" s="646"/>
      <c r="J216" s="646"/>
      <c r="K216" s="646"/>
      <c r="L216" s="646"/>
    </row>
    <row r="217" spans="1:37">
      <c r="B217" s="646"/>
      <c r="C217" s="646"/>
      <c r="D217" s="646"/>
      <c r="E217" s="646"/>
      <c r="F217" s="646"/>
      <c r="G217" s="646"/>
      <c r="H217" s="646"/>
      <c r="I217" s="646"/>
      <c r="J217" s="646"/>
      <c r="K217" s="646"/>
      <c r="L217" s="646"/>
    </row>
    <row r="218" spans="1:37">
      <c r="B218" s="646"/>
      <c r="C218" s="646"/>
      <c r="D218" s="646"/>
      <c r="E218" s="646"/>
      <c r="F218" s="646"/>
      <c r="G218" s="646"/>
      <c r="H218" s="646"/>
      <c r="I218" s="646"/>
      <c r="J218" s="646"/>
      <c r="K218" s="646"/>
      <c r="L218" s="646"/>
    </row>
    <row r="219" spans="1:37">
      <c r="B219" s="646"/>
      <c r="C219" s="646"/>
      <c r="D219" s="646"/>
      <c r="E219" s="646"/>
      <c r="F219" s="646"/>
      <c r="G219" s="646"/>
      <c r="H219" s="646"/>
      <c r="I219" s="646"/>
      <c r="J219" s="646"/>
      <c r="K219" s="646"/>
      <c r="L219" s="646"/>
    </row>
  </sheetData>
  <sheetProtection sheet="1" objects="1" scenarios="1"/>
  <mergeCells count="53">
    <mergeCell ref="P3:Z3"/>
    <mergeCell ref="B4:L4"/>
    <mergeCell ref="A5:A7"/>
    <mergeCell ref="B8:L8"/>
    <mergeCell ref="A9:A20"/>
    <mergeCell ref="B9:L9"/>
    <mergeCell ref="P11:S11"/>
    <mergeCell ref="R13:S13"/>
    <mergeCell ref="R14:S14"/>
    <mergeCell ref="N15:N16"/>
    <mergeCell ref="N19:N20"/>
    <mergeCell ref="A1:A3"/>
    <mergeCell ref="B1:L1"/>
    <mergeCell ref="B2:D2"/>
    <mergeCell ref="F2:H2"/>
    <mergeCell ref="J2:L2"/>
    <mergeCell ref="B21:L21"/>
    <mergeCell ref="A22:A29"/>
    <mergeCell ref="B22:L22"/>
    <mergeCell ref="P22:T25"/>
    <mergeCell ref="P27:T28"/>
    <mergeCell ref="B30:L30"/>
    <mergeCell ref="A31:A39"/>
    <mergeCell ref="B31:L31"/>
    <mergeCell ref="P35:T36"/>
    <mergeCell ref="B38:D38"/>
    <mergeCell ref="F38:H38"/>
    <mergeCell ref="J38:L38"/>
    <mergeCell ref="B40:L40"/>
    <mergeCell ref="A41:A45"/>
    <mergeCell ref="B41:L41"/>
    <mergeCell ref="N44:N45"/>
    <mergeCell ref="B46:L46"/>
    <mergeCell ref="A47:A50"/>
    <mergeCell ref="B47:L47"/>
    <mergeCell ref="B48:C48"/>
    <mergeCell ref="F48:G48"/>
    <mergeCell ref="J48:K48"/>
    <mergeCell ref="B49:C49"/>
    <mergeCell ref="F49:G49"/>
    <mergeCell ref="J49:K49"/>
    <mergeCell ref="B51:L51"/>
    <mergeCell ref="A52:A53"/>
    <mergeCell ref="B52:L52"/>
    <mergeCell ref="J78:L78"/>
    <mergeCell ref="B80:L80"/>
    <mergeCell ref="B54:D54"/>
    <mergeCell ref="F54:H54"/>
    <mergeCell ref="J54:L54"/>
    <mergeCell ref="A65:A66"/>
    <mergeCell ref="B66:D66"/>
    <mergeCell ref="F66:H66"/>
    <mergeCell ref="J66:L66"/>
  </mergeCells>
  <hyperlinks>
    <hyperlink ref="P4" r:id="rId1" xr:uid="{1331998C-6F32-4DEF-8F55-A9C4DE97F1CD}"/>
    <hyperlink ref="P7" r:id="rId2" xr:uid="{E93E52C6-A2CF-4A36-AE5C-D5AF4E542005}"/>
    <hyperlink ref="P9" r:id="rId3" xr:uid="{D89AD223-6564-42E7-B00B-BE6EC4FAA767}"/>
    <hyperlink ref="P32" r:id="rId4" xr:uid="{DE697DEB-11A4-4435-A19C-B0DABBBC7A6E}"/>
    <hyperlink ref="P31" r:id="rId5" xr:uid="{F185327D-823F-439B-801C-530F40BD9BA1}"/>
  </hyperlinks>
  <printOptions horizontalCentered="1"/>
  <pageMargins left="0.7" right="0.7" top="0.5" bottom="0.5" header="0.3" footer="0.3"/>
  <pageSetup scale="55" orientation="portrait" horizontalDpi="4294967294" verticalDpi="4294967294" r:id="rId6"/>
  <colBreaks count="1" manualBreakCount="1">
    <brk id="12" max="1048575" man="1"/>
  </colBreaks>
  <drawing r:id="rId7"/>
  <extLst>
    <ext xmlns:x14="http://schemas.microsoft.com/office/spreadsheetml/2009/9/main" uri="{CCE6A557-97BC-4b89-ADB6-D9C93CAAB3DF}">
      <x14:dataValidations xmlns:xm="http://schemas.microsoft.com/office/excel/2006/main" count="2">
        <x14:dataValidation type="list" allowBlank="1" showInputMessage="1" showErrorMessage="1" xr:uid="{36A868C8-78A6-4433-9EF9-4F51785A6513}">
          <x14:formula1>
            <xm:f>'Manure and Nutrient Credits'!$A$26:$A$30</xm:f>
          </x14:formula1>
          <xm:sqref>D37 H37 L37</xm:sqref>
        </x14:dataValidation>
        <x14:dataValidation type="list" allowBlank="1" showInputMessage="1" showErrorMessage="1" xr:uid="{77AB7964-C437-4759-83C8-0B72BD3169B7}">
          <x14:formula1>
            <xm:f>'Manure and Nutrient Credits'!$A$3:$A$16</xm:f>
          </x14:formula1>
          <xm:sqref>B49:C49 F49:G49 J49:K49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E1E34-0324-4655-8E07-2465D2964B12}">
  <sheetPr codeName="Sheet13"/>
  <dimension ref="A3:L44"/>
  <sheetViews>
    <sheetView topLeftCell="A22" workbookViewId="0">
      <selection activeCell="D27" sqref="D27"/>
    </sheetView>
  </sheetViews>
  <sheetFormatPr defaultColWidth="8.88671875" defaultRowHeight="14.4"/>
  <cols>
    <col min="1" max="1" width="18.44140625" bestFit="1" customWidth="1"/>
    <col min="5" max="5" width="8.88671875" bestFit="1" customWidth="1"/>
    <col min="6" max="6" width="11.44140625" bestFit="1" customWidth="1"/>
    <col min="7" max="7" width="10.109375" bestFit="1" customWidth="1"/>
  </cols>
  <sheetData>
    <row r="3" spans="1:12">
      <c r="A3" t="s">
        <v>773</v>
      </c>
      <c r="B3">
        <v>0</v>
      </c>
      <c r="L3" t="s">
        <v>845</v>
      </c>
    </row>
    <row r="4" spans="1:12">
      <c r="A4" t="s">
        <v>844</v>
      </c>
      <c r="B4">
        <v>40</v>
      </c>
      <c r="L4" t="s">
        <v>765</v>
      </c>
    </row>
    <row r="5" spans="1:12">
      <c r="A5" t="s">
        <v>843</v>
      </c>
      <c r="B5">
        <v>40</v>
      </c>
      <c r="L5" t="s">
        <v>769</v>
      </c>
    </row>
    <row r="6" spans="1:12">
      <c r="A6" t="s">
        <v>842</v>
      </c>
      <c r="B6">
        <v>40</v>
      </c>
    </row>
    <row r="7" spans="1:12">
      <c r="A7" t="s">
        <v>841</v>
      </c>
      <c r="B7">
        <v>20</v>
      </c>
    </row>
    <row r="8" spans="1:12">
      <c r="A8" t="s">
        <v>840</v>
      </c>
      <c r="B8">
        <v>40</v>
      </c>
    </row>
    <row r="9" spans="1:12">
      <c r="A9" t="s">
        <v>839</v>
      </c>
      <c r="B9">
        <v>30</v>
      </c>
    </row>
    <row r="10" spans="1:12">
      <c r="A10" t="s">
        <v>838</v>
      </c>
      <c r="B10">
        <v>30</v>
      </c>
    </row>
    <row r="11" spans="1:12">
      <c r="A11" t="s">
        <v>837</v>
      </c>
      <c r="B11">
        <v>30</v>
      </c>
    </row>
    <row r="12" spans="1:12">
      <c r="A12" t="s">
        <v>836</v>
      </c>
      <c r="B12">
        <v>40</v>
      </c>
    </row>
    <row r="13" spans="1:12">
      <c r="A13" t="s">
        <v>835</v>
      </c>
      <c r="B13">
        <v>40</v>
      </c>
    </row>
    <row r="14" spans="1:12">
      <c r="A14" t="s">
        <v>834</v>
      </c>
      <c r="B14">
        <v>20</v>
      </c>
    </row>
    <row r="15" spans="1:12">
      <c r="A15" t="s">
        <v>130</v>
      </c>
      <c r="B15">
        <v>30</v>
      </c>
    </row>
    <row r="16" spans="1:12">
      <c r="A16" t="s">
        <v>833</v>
      </c>
      <c r="B16">
        <v>40</v>
      </c>
    </row>
    <row r="24" spans="1:8">
      <c r="A24" t="s">
        <v>643</v>
      </c>
    </row>
    <row r="25" spans="1:8">
      <c r="A25" t="s">
        <v>784</v>
      </c>
      <c r="B25" t="s">
        <v>829</v>
      </c>
      <c r="D25" t="s">
        <v>832</v>
      </c>
    </row>
    <row r="26" spans="1:8">
      <c r="A26" s="724" t="s">
        <v>783</v>
      </c>
      <c r="B26">
        <v>1</v>
      </c>
      <c r="D26" t="s">
        <v>41</v>
      </c>
      <c r="E26" t="s">
        <v>2</v>
      </c>
      <c r="F26" t="s">
        <v>3</v>
      </c>
      <c r="G26" t="s">
        <v>4</v>
      </c>
      <c r="H26" t="s">
        <v>5</v>
      </c>
    </row>
    <row r="27" spans="1:8">
      <c r="A27" s="723" t="s">
        <v>785</v>
      </c>
      <c r="B27">
        <v>0.7</v>
      </c>
      <c r="D27">
        <f>VLOOKUP('Nutrient Management'!D37,'Manure and Nutrient Credits'!A26:B30,2,FALSE)</f>
        <v>1</v>
      </c>
      <c r="E27">
        <f>$D$27*'Nutrient Management'!B34</f>
        <v>0</v>
      </c>
      <c r="F27">
        <f>$D$27*'Nutrient Management'!C34</f>
        <v>0</v>
      </c>
      <c r="G27">
        <f>$D$27*'Nutrient Management'!D34</f>
        <v>0</v>
      </c>
      <c r="H27">
        <f>$D$27*'Nutrient Management'!B36</f>
        <v>0</v>
      </c>
    </row>
    <row r="28" spans="1:8">
      <c r="A28" s="723" t="s">
        <v>828</v>
      </c>
      <c r="B28">
        <v>0.4</v>
      </c>
      <c r="D28" t="s">
        <v>831</v>
      </c>
    </row>
    <row r="29" spans="1:8">
      <c r="A29" s="723" t="s">
        <v>786</v>
      </c>
      <c r="B29">
        <v>0.2</v>
      </c>
    </row>
    <row r="30" spans="1:8">
      <c r="A30" s="723" t="s">
        <v>819</v>
      </c>
      <c r="B30">
        <v>0.1</v>
      </c>
      <c r="D30">
        <f>VLOOKUP('Nutrient Management'!H37,A26:B30,2,FALSE)</f>
        <v>1</v>
      </c>
      <c r="E30">
        <f>$D$30*'Nutrient Management'!F34</f>
        <v>0</v>
      </c>
      <c r="F30">
        <f>$D$30*'Nutrient Management'!G34</f>
        <v>0</v>
      </c>
      <c r="G30">
        <f>$D$30*'Nutrient Management'!H34</f>
        <v>0</v>
      </c>
      <c r="H30">
        <f>$D$30*'Nutrient Management'!F36</f>
        <v>0</v>
      </c>
    </row>
    <row r="31" spans="1:8">
      <c r="D31" t="s">
        <v>830</v>
      </c>
    </row>
    <row r="32" spans="1:8">
      <c r="A32" s="723"/>
    </row>
    <row r="33" spans="1:8">
      <c r="A33" s="723"/>
      <c r="D33">
        <f>VLOOKUP('Nutrient Management'!L37,A26:B30,2,FALSE)</f>
        <v>1</v>
      </c>
      <c r="E33">
        <f>$D$33*'Nutrient Management'!J34</f>
        <v>0</v>
      </c>
      <c r="F33">
        <f>$D$33*'Nutrient Management'!K34</f>
        <v>0</v>
      </c>
      <c r="G33">
        <f>$D$33*'Nutrient Management'!L34</f>
        <v>0</v>
      </c>
      <c r="H33">
        <f>$D$33*'Nutrient Management'!J36</f>
        <v>0</v>
      </c>
    </row>
    <row r="34" spans="1:8">
      <c r="A34" s="723"/>
    </row>
    <row r="35" spans="1:8">
      <c r="A35" s="723" t="s">
        <v>751</v>
      </c>
    </row>
    <row r="36" spans="1:8">
      <c r="A36" t="s">
        <v>784</v>
      </c>
      <c r="B36" t="s">
        <v>829</v>
      </c>
      <c r="D36" t="s">
        <v>815</v>
      </c>
    </row>
    <row r="37" spans="1:8">
      <c r="A37" s="724" t="s">
        <v>783</v>
      </c>
      <c r="B37">
        <v>1</v>
      </c>
      <c r="D37" t="s">
        <v>41</v>
      </c>
      <c r="E37" t="s">
        <v>2</v>
      </c>
      <c r="F37" t="s">
        <v>3</v>
      </c>
      <c r="G37" t="s">
        <v>4</v>
      </c>
      <c r="H37" t="s">
        <v>5</v>
      </c>
    </row>
    <row r="38" spans="1:8">
      <c r="A38" s="723" t="s">
        <v>785</v>
      </c>
      <c r="B38">
        <v>0.7</v>
      </c>
      <c r="D38">
        <f>VLOOKUP('Fertilizer Products &amp; Pricing'!Y34,'Manure and Nutrient Credits'!A37:B41,2,FALSE)</f>
        <v>1</v>
      </c>
      <c r="E38">
        <f>$D$38*'Fertilizer Products &amp; Pricing'!U34</f>
        <v>42</v>
      </c>
      <c r="F38">
        <f>$D$38*'Fertilizer Products &amp; Pricing'!V34</f>
        <v>75</v>
      </c>
      <c r="G38">
        <f>$D$38*'Fertilizer Products &amp; Pricing'!W34</f>
        <v>57</v>
      </c>
      <c r="H38">
        <f>$D$38*'Fertilizer Products &amp; Pricing'!X34</f>
        <v>8</v>
      </c>
    </row>
    <row r="39" spans="1:8">
      <c r="A39" s="723" t="s">
        <v>828</v>
      </c>
      <c r="B39">
        <v>0.4</v>
      </c>
      <c r="D39" t="s">
        <v>817</v>
      </c>
    </row>
    <row r="40" spans="1:8">
      <c r="A40" s="723" t="s">
        <v>786</v>
      </c>
      <c r="B40">
        <v>0.2</v>
      </c>
    </row>
    <row r="41" spans="1:8">
      <c r="A41" s="723" t="s">
        <v>819</v>
      </c>
      <c r="B41">
        <v>0.1</v>
      </c>
      <c r="D41">
        <f>VLOOKUP('Fertilizer Products &amp; Pricing'!Y39,'Manure and Nutrient Credits'!A37:B41,2,FALSE)</f>
        <v>1</v>
      </c>
      <c r="E41">
        <f>$D$41*'Fertilizer Products &amp; Pricing'!U39</f>
        <v>43</v>
      </c>
      <c r="F41">
        <f>$D$41*'Fertilizer Products &amp; Pricing'!V39</f>
        <v>17</v>
      </c>
      <c r="G41">
        <f>$D$41*'Fertilizer Products &amp; Pricing'!W39</f>
        <v>38</v>
      </c>
      <c r="H41">
        <f>$D$41*'Fertilizer Products &amp; Pricing'!X39</f>
        <v>10</v>
      </c>
    </row>
    <row r="43" spans="1:8">
      <c r="A43" s="723"/>
    </row>
    <row r="44" spans="1:8">
      <c r="A44" s="72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1"/>
  <dimension ref="A1:AA91"/>
  <sheetViews>
    <sheetView topLeftCell="A2" zoomScale="80" zoomScaleNormal="80" workbookViewId="0">
      <selection activeCell="F18" sqref="F18"/>
    </sheetView>
  </sheetViews>
  <sheetFormatPr defaultColWidth="9.109375" defaultRowHeight="15.6"/>
  <cols>
    <col min="1" max="1" width="38.109375" style="60" bestFit="1" customWidth="1"/>
    <col min="2" max="13" width="14.44140625" style="60" customWidth="1"/>
    <col min="14" max="14" width="9.5546875" style="60" customWidth="1"/>
    <col min="15" max="15" width="9.33203125" style="60" bestFit="1" customWidth="1"/>
    <col min="16" max="16" width="10.6640625" style="60" customWidth="1"/>
    <col min="17" max="17" width="16.33203125" style="60" bestFit="1" customWidth="1"/>
    <col min="18" max="18" width="14.33203125" style="60" bestFit="1" customWidth="1"/>
    <col min="19" max="16384" width="9.109375" style="60"/>
  </cols>
  <sheetData>
    <row r="1" spans="1:27" hidden="1">
      <c r="A1" s="19">
        <v>1</v>
      </c>
      <c r="B1" s="19">
        <v>2</v>
      </c>
      <c r="C1" s="19">
        <v>3</v>
      </c>
      <c r="D1" s="19">
        <v>4</v>
      </c>
      <c r="E1" s="19">
        <v>5</v>
      </c>
      <c r="F1" s="19">
        <v>6</v>
      </c>
      <c r="G1" s="19">
        <v>7</v>
      </c>
      <c r="H1" s="19">
        <v>8</v>
      </c>
      <c r="I1" s="19">
        <v>9</v>
      </c>
      <c r="J1" s="19">
        <v>10</v>
      </c>
      <c r="K1" s="19">
        <v>11</v>
      </c>
      <c r="L1" s="19">
        <v>12</v>
      </c>
      <c r="M1" s="19">
        <v>13</v>
      </c>
      <c r="N1" s="19">
        <v>14</v>
      </c>
      <c r="O1" s="19">
        <v>15</v>
      </c>
      <c r="P1" s="19">
        <v>16</v>
      </c>
      <c r="Q1" s="19">
        <v>17</v>
      </c>
      <c r="R1" s="19">
        <v>18</v>
      </c>
    </row>
    <row r="2" spans="1:27">
      <c r="B2" s="977" t="s">
        <v>0</v>
      </c>
      <c r="C2" s="977"/>
      <c r="D2" s="977"/>
      <c r="E2" s="977"/>
      <c r="F2" s="977"/>
      <c r="G2" s="977"/>
      <c r="H2" s="977"/>
      <c r="I2" s="977"/>
      <c r="J2" s="977"/>
      <c r="K2" s="626"/>
      <c r="L2" s="626"/>
      <c r="M2" s="626"/>
      <c r="R2" s="511" t="s">
        <v>146</v>
      </c>
    </row>
    <row r="3" spans="1:27">
      <c r="A3" s="606" t="s">
        <v>1</v>
      </c>
      <c r="B3" s="2" t="s">
        <v>2</v>
      </c>
      <c r="C3" s="2" t="s">
        <v>3</v>
      </c>
      <c r="D3" s="2" t="s">
        <v>4</v>
      </c>
      <c r="E3" s="2" t="s">
        <v>5</v>
      </c>
      <c r="F3" s="2" t="s">
        <v>6</v>
      </c>
      <c r="G3" s="2" t="s">
        <v>7</v>
      </c>
      <c r="H3" s="2" t="s">
        <v>8</v>
      </c>
      <c r="I3" s="2" t="s">
        <v>9</v>
      </c>
      <c r="J3" s="2" t="s">
        <v>740</v>
      </c>
      <c r="K3" s="2" t="s">
        <v>861</v>
      </c>
      <c r="L3" s="2" t="s">
        <v>863</v>
      </c>
      <c r="M3" s="2" t="s">
        <v>862</v>
      </c>
      <c r="N3" s="2" t="s">
        <v>10</v>
      </c>
      <c r="O3" s="2" t="s">
        <v>11</v>
      </c>
      <c r="P3" s="2" t="s">
        <v>12</v>
      </c>
      <c r="Q3" s="2" t="s">
        <v>118</v>
      </c>
      <c r="R3" s="19" t="s">
        <v>764</v>
      </c>
    </row>
    <row r="4" spans="1:27" hidden="1">
      <c r="A4" s="2" t="s">
        <v>13</v>
      </c>
      <c r="B4" s="2"/>
      <c r="C4" s="2"/>
      <c r="D4" s="2"/>
      <c r="E4" s="2"/>
      <c r="F4" s="2"/>
      <c r="G4" s="2"/>
      <c r="H4" s="2"/>
      <c r="I4" s="2"/>
      <c r="J4" s="2"/>
      <c r="K4" s="2"/>
      <c r="L4" s="2"/>
      <c r="M4" s="2"/>
      <c r="N4" s="2"/>
      <c r="O4" s="2"/>
      <c r="P4" s="2">
        <v>1</v>
      </c>
      <c r="Q4" s="2" t="s">
        <v>13</v>
      </c>
      <c r="R4" s="60">
        <v>0</v>
      </c>
    </row>
    <row r="5" spans="1:27">
      <c r="A5" s="2" t="s">
        <v>17</v>
      </c>
      <c r="B5" s="2">
        <f>N5*0.1</f>
        <v>1.17</v>
      </c>
      <c r="C5" s="2">
        <f>N5*0.34</f>
        <v>3.9780000000000002</v>
      </c>
      <c r="D5" s="2"/>
      <c r="E5" s="2"/>
      <c r="F5" s="2"/>
      <c r="G5" s="2"/>
      <c r="H5" s="2"/>
      <c r="I5" s="2"/>
      <c r="J5" s="2"/>
      <c r="K5" s="2"/>
      <c r="L5" s="2"/>
      <c r="M5" s="2"/>
      <c r="N5" s="2">
        <v>11.7</v>
      </c>
      <c r="O5" s="2" t="s">
        <v>15</v>
      </c>
      <c r="P5" s="2">
        <v>2000</v>
      </c>
      <c r="Q5" s="2" t="s">
        <v>16</v>
      </c>
      <c r="R5" s="512">
        <v>0</v>
      </c>
      <c r="T5" s="274"/>
    </row>
    <row r="6" spans="1:27">
      <c r="A6" s="2" t="s">
        <v>22</v>
      </c>
      <c r="B6" s="2">
        <v>0.21</v>
      </c>
      <c r="C6" s="2"/>
      <c r="D6" s="2"/>
      <c r="E6" s="2">
        <v>0.24</v>
      </c>
      <c r="F6" s="2"/>
      <c r="G6" s="2"/>
      <c r="H6" s="2"/>
      <c r="I6" s="2"/>
      <c r="J6" s="2"/>
      <c r="K6" s="2"/>
      <c r="L6" s="2"/>
      <c r="M6" s="2"/>
      <c r="N6" s="2">
        <v>1</v>
      </c>
      <c r="O6" s="2" t="s">
        <v>19</v>
      </c>
      <c r="P6" s="2">
        <v>2000</v>
      </c>
      <c r="Q6" s="2" t="s">
        <v>16</v>
      </c>
      <c r="R6" s="512">
        <v>0</v>
      </c>
      <c r="T6" s="6"/>
    </row>
    <row r="7" spans="1:27">
      <c r="A7" s="2" t="s">
        <v>26</v>
      </c>
      <c r="B7" s="2">
        <v>0.82</v>
      </c>
      <c r="C7" s="2"/>
      <c r="D7" s="2"/>
      <c r="E7" s="2"/>
      <c r="F7" s="2"/>
      <c r="G7" s="2"/>
      <c r="H7" s="2"/>
      <c r="I7" s="2"/>
      <c r="J7" s="2"/>
      <c r="K7" s="2"/>
      <c r="L7" s="2"/>
      <c r="M7" s="2"/>
      <c r="N7" s="2">
        <v>1</v>
      </c>
      <c r="O7" s="2" t="s">
        <v>19</v>
      </c>
      <c r="P7" s="2">
        <v>2000</v>
      </c>
      <c r="Q7" s="2" t="s">
        <v>16</v>
      </c>
      <c r="R7" s="512">
        <v>0</v>
      </c>
      <c r="T7" s="978"/>
      <c r="U7" s="978"/>
      <c r="V7" s="978"/>
      <c r="W7" s="978"/>
      <c r="X7" s="978"/>
      <c r="Y7" s="978"/>
      <c r="Z7" s="978"/>
      <c r="AA7" s="978"/>
    </row>
    <row r="8" spans="1:27">
      <c r="A8" s="2" t="s">
        <v>21</v>
      </c>
      <c r="B8" s="2">
        <v>0.18</v>
      </c>
      <c r="C8" s="2">
        <v>0.46</v>
      </c>
      <c r="D8" s="2"/>
      <c r="E8" s="2"/>
      <c r="F8" s="2"/>
      <c r="G8" s="2"/>
      <c r="H8" s="2"/>
      <c r="I8" s="2"/>
      <c r="J8" s="2"/>
      <c r="K8" s="2"/>
      <c r="L8" s="2"/>
      <c r="M8" s="2"/>
      <c r="N8" s="2">
        <v>1</v>
      </c>
      <c r="O8" s="2" t="s">
        <v>19</v>
      </c>
      <c r="P8" s="2">
        <v>2000</v>
      </c>
      <c r="Q8" s="2" t="s">
        <v>16</v>
      </c>
      <c r="R8" s="512">
        <v>0</v>
      </c>
    </row>
    <row r="9" spans="1:27">
      <c r="A9" s="2" t="s">
        <v>745</v>
      </c>
      <c r="B9" s="2">
        <v>0.44</v>
      </c>
      <c r="C9" s="2"/>
      <c r="D9" s="2"/>
      <c r="E9" s="2"/>
      <c r="F9" s="2"/>
      <c r="G9" s="2"/>
      <c r="H9" s="2"/>
      <c r="I9" s="2"/>
      <c r="J9" s="2"/>
      <c r="K9" s="2"/>
      <c r="L9" s="2"/>
      <c r="M9" s="2"/>
      <c r="N9" s="2">
        <v>1</v>
      </c>
      <c r="O9" s="2" t="s">
        <v>19</v>
      </c>
      <c r="P9" s="2">
        <v>2000</v>
      </c>
      <c r="Q9" s="2" t="s">
        <v>16</v>
      </c>
      <c r="R9" s="512">
        <v>0</v>
      </c>
    </row>
    <row r="10" spans="1:27">
      <c r="A10" s="2" t="s">
        <v>25</v>
      </c>
      <c r="B10" s="2"/>
      <c r="C10" s="2"/>
      <c r="D10" s="2"/>
      <c r="E10" s="2">
        <v>0.17</v>
      </c>
      <c r="F10" s="2"/>
      <c r="G10" s="2">
        <v>0.21</v>
      </c>
      <c r="H10" s="2"/>
      <c r="I10" s="2"/>
      <c r="J10" s="2"/>
      <c r="K10" s="2"/>
      <c r="L10" s="2"/>
      <c r="M10" s="2"/>
      <c r="N10" s="2">
        <v>1</v>
      </c>
      <c r="O10" s="2" t="s">
        <v>19</v>
      </c>
      <c r="P10" s="2">
        <v>2000</v>
      </c>
      <c r="Q10" s="2" t="s">
        <v>16</v>
      </c>
      <c r="R10" s="512">
        <v>0</v>
      </c>
    </row>
    <row r="11" spans="1:27">
      <c r="A11" s="2" t="s">
        <v>23</v>
      </c>
      <c r="B11" s="2"/>
      <c r="C11" s="2"/>
      <c r="D11" s="2">
        <v>0.22</v>
      </c>
      <c r="E11" s="2">
        <v>0.21</v>
      </c>
      <c r="F11" s="2">
        <v>0.11</v>
      </c>
      <c r="G11" s="2"/>
      <c r="H11" s="2"/>
      <c r="I11" s="2"/>
      <c r="J11" s="2"/>
      <c r="K11" s="2"/>
      <c r="L11" s="2"/>
      <c r="M11" s="2"/>
      <c r="N11" s="2">
        <v>1</v>
      </c>
      <c r="O11" s="2" t="s">
        <v>19</v>
      </c>
      <c r="P11" s="2">
        <v>2000</v>
      </c>
      <c r="Q11" s="2" t="s">
        <v>24</v>
      </c>
      <c r="R11" s="512">
        <v>0</v>
      </c>
    </row>
    <row r="12" spans="1:27">
      <c r="A12" s="2" t="s">
        <v>139</v>
      </c>
      <c r="B12" s="2">
        <v>0.11</v>
      </c>
      <c r="C12" s="2">
        <v>0.52</v>
      </c>
      <c r="D12" s="2"/>
      <c r="E12" s="2"/>
      <c r="F12" s="2"/>
      <c r="G12" s="2"/>
      <c r="H12" s="2"/>
      <c r="I12" s="2"/>
      <c r="J12" s="2"/>
      <c r="K12" s="2"/>
      <c r="L12" s="2"/>
      <c r="M12" s="2"/>
      <c r="N12" s="2">
        <v>1</v>
      </c>
      <c r="O12" s="2" t="s">
        <v>19</v>
      </c>
      <c r="P12" s="2">
        <v>2000</v>
      </c>
      <c r="Q12" s="2" t="s">
        <v>16</v>
      </c>
      <c r="R12" s="512">
        <v>0</v>
      </c>
    </row>
    <row r="13" spans="1:27">
      <c r="A13" s="2" t="s">
        <v>625</v>
      </c>
      <c r="B13" s="2">
        <v>0.12</v>
      </c>
      <c r="C13" s="2">
        <v>0.4</v>
      </c>
      <c r="D13" s="2"/>
      <c r="E13" s="2">
        <v>0.1</v>
      </c>
      <c r="F13" s="2"/>
      <c r="G13" s="2"/>
      <c r="H13" s="2">
        <v>0.01</v>
      </c>
      <c r="I13" s="2"/>
      <c r="J13" s="2"/>
      <c r="K13" s="2"/>
      <c r="L13" s="2"/>
      <c r="M13" s="2"/>
      <c r="N13" s="2">
        <v>1</v>
      </c>
      <c r="O13" s="2" t="s">
        <v>19</v>
      </c>
      <c r="P13" s="2">
        <v>2000</v>
      </c>
      <c r="Q13" s="2" t="s">
        <v>16</v>
      </c>
      <c r="R13" s="512">
        <v>0</v>
      </c>
    </row>
    <row r="14" spans="1:27">
      <c r="A14" s="2" t="s">
        <v>757</v>
      </c>
      <c r="B14" s="2"/>
      <c r="C14" s="2"/>
      <c r="D14" s="2">
        <v>0.6</v>
      </c>
      <c r="E14" s="2"/>
      <c r="F14" s="2"/>
      <c r="G14" s="2"/>
      <c r="H14" s="2"/>
      <c r="I14" s="2"/>
      <c r="J14" s="2"/>
      <c r="K14" s="2"/>
      <c r="L14" s="2"/>
      <c r="M14" s="2"/>
      <c r="N14" s="2">
        <v>1</v>
      </c>
      <c r="O14" s="2" t="s">
        <v>19</v>
      </c>
      <c r="P14" s="2">
        <v>2000</v>
      </c>
      <c r="Q14" s="2" t="s">
        <v>16</v>
      </c>
      <c r="R14" s="512">
        <v>0</v>
      </c>
    </row>
    <row r="15" spans="1:27">
      <c r="A15" s="598" t="s">
        <v>744</v>
      </c>
      <c r="B15" s="2"/>
      <c r="C15" s="2"/>
      <c r="D15" s="2">
        <v>0.24</v>
      </c>
      <c r="E15" s="2"/>
      <c r="F15" s="2"/>
      <c r="G15" s="2"/>
      <c r="H15" s="2"/>
      <c r="I15" s="2"/>
      <c r="J15" s="2"/>
      <c r="K15" s="2"/>
      <c r="L15" s="2"/>
      <c r="M15" s="2"/>
      <c r="N15" s="2">
        <v>10.65</v>
      </c>
      <c r="O15" s="2" t="s">
        <v>15</v>
      </c>
      <c r="P15" s="2">
        <v>2000</v>
      </c>
      <c r="Q15" s="2" t="s">
        <v>24</v>
      </c>
      <c r="R15" s="512">
        <v>0</v>
      </c>
    </row>
    <row r="16" spans="1:27">
      <c r="A16" s="2" t="s">
        <v>628</v>
      </c>
      <c r="B16" s="2"/>
      <c r="C16" s="2"/>
      <c r="D16" s="2">
        <v>0.52</v>
      </c>
      <c r="E16" s="2">
        <v>0.18</v>
      </c>
      <c r="F16" s="2"/>
      <c r="G16" s="2"/>
      <c r="H16" s="2"/>
      <c r="I16" s="2"/>
      <c r="J16" s="2"/>
      <c r="K16" s="2"/>
      <c r="L16" s="2"/>
      <c r="M16" s="2"/>
      <c r="N16" s="2">
        <v>1</v>
      </c>
      <c r="O16" s="2" t="s">
        <v>19</v>
      </c>
      <c r="P16" s="2">
        <v>2000</v>
      </c>
      <c r="Q16" s="2" t="s">
        <v>16</v>
      </c>
      <c r="R16" s="512">
        <v>0</v>
      </c>
    </row>
    <row r="17" spans="1:26">
      <c r="A17" s="2" t="s">
        <v>827</v>
      </c>
      <c r="B17" s="2">
        <v>0.46</v>
      </c>
      <c r="C17" s="2"/>
      <c r="D17" s="2"/>
      <c r="E17" s="2"/>
      <c r="F17" s="2"/>
      <c r="G17" s="2"/>
      <c r="H17" s="2"/>
      <c r="I17" s="2"/>
      <c r="J17" s="2"/>
      <c r="K17" s="2"/>
      <c r="L17" s="2"/>
      <c r="M17" s="2"/>
      <c r="N17" s="2">
        <v>1</v>
      </c>
      <c r="O17" s="2" t="s">
        <v>19</v>
      </c>
      <c r="P17" s="2">
        <v>2000</v>
      </c>
      <c r="Q17" s="2" t="s">
        <v>16</v>
      </c>
      <c r="R17" s="512">
        <v>0</v>
      </c>
    </row>
    <row r="18" spans="1:26">
      <c r="A18" s="2" t="s">
        <v>20</v>
      </c>
      <c r="B18" s="2">
        <f>N18*0.12</f>
        <v>1.3247999999999998</v>
      </c>
      <c r="C18" s="2"/>
      <c r="D18" s="2"/>
      <c r="E18" s="2">
        <f>N18*0.26</f>
        <v>2.8704000000000001</v>
      </c>
      <c r="F18" s="2"/>
      <c r="G18" s="2"/>
      <c r="H18" s="2"/>
      <c r="I18" s="2"/>
      <c r="J18" s="2"/>
      <c r="K18" s="2"/>
      <c r="L18" s="2"/>
      <c r="M18" s="2"/>
      <c r="N18" s="2">
        <v>11.04</v>
      </c>
      <c r="O18" s="2" t="s">
        <v>15</v>
      </c>
      <c r="P18" s="2">
        <v>2000</v>
      </c>
      <c r="Q18" s="2" t="s">
        <v>16</v>
      </c>
      <c r="R18" s="512">
        <v>0</v>
      </c>
    </row>
    <row r="19" spans="1:26">
      <c r="A19" s="2" t="s">
        <v>627</v>
      </c>
      <c r="B19" s="2"/>
      <c r="C19" s="2">
        <v>0.46</v>
      </c>
      <c r="D19" s="2"/>
      <c r="E19" s="2"/>
      <c r="F19" s="2"/>
      <c r="G19" s="2"/>
      <c r="H19" s="2"/>
      <c r="I19" s="2"/>
      <c r="J19" s="2"/>
      <c r="K19" s="2"/>
      <c r="L19" s="2"/>
      <c r="M19" s="2"/>
      <c r="N19" s="2">
        <v>1</v>
      </c>
      <c r="O19" s="2" t="s">
        <v>19</v>
      </c>
      <c r="P19" s="2">
        <v>2000</v>
      </c>
      <c r="Q19" s="2" t="s">
        <v>16</v>
      </c>
      <c r="R19" s="512">
        <v>0</v>
      </c>
    </row>
    <row r="20" spans="1:26">
      <c r="A20" s="2" t="s">
        <v>14</v>
      </c>
      <c r="B20" s="2">
        <f>N20*0.28</f>
        <v>2.9876000000000005</v>
      </c>
      <c r="C20" s="2"/>
      <c r="D20" s="2"/>
      <c r="E20" s="2"/>
      <c r="F20" s="2"/>
      <c r="G20" s="2"/>
      <c r="H20" s="2"/>
      <c r="I20" s="2"/>
      <c r="J20" s="2"/>
      <c r="K20" s="2"/>
      <c r="L20" s="2"/>
      <c r="M20" s="2"/>
      <c r="N20" s="2">
        <v>10.67</v>
      </c>
      <c r="O20" s="2" t="s">
        <v>15</v>
      </c>
      <c r="P20" s="2">
        <v>2000</v>
      </c>
      <c r="Q20" s="2" t="s">
        <v>16</v>
      </c>
      <c r="R20" s="512">
        <v>0</v>
      </c>
    </row>
    <row r="21" spans="1:26">
      <c r="A21" s="2" t="s">
        <v>669</v>
      </c>
      <c r="B21" s="2">
        <f>N21*0.32</f>
        <v>3.5392000000000001</v>
      </c>
      <c r="C21" s="2"/>
      <c r="D21" s="2"/>
      <c r="E21" s="2"/>
      <c r="F21" s="2"/>
      <c r="G21" s="2"/>
      <c r="H21" s="2"/>
      <c r="I21" s="2"/>
      <c r="J21" s="2"/>
      <c r="K21" s="2"/>
      <c r="L21" s="2"/>
      <c r="M21" s="2"/>
      <c r="N21" s="2">
        <v>11.06</v>
      </c>
      <c r="O21" s="2" t="s">
        <v>15</v>
      </c>
      <c r="P21" s="2">
        <v>2000</v>
      </c>
      <c r="Q21" s="2" t="s">
        <v>16</v>
      </c>
      <c r="R21" s="512">
        <v>0</v>
      </c>
    </row>
    <row r="22" spans="1:26">
      <c r="A22" s="2" t="s">
        <v>18</v>
      </c>
      <c r="B22" s="2">
        <f>0.46</f>
        <v>0.46</v>
      </c>
      <c r="C22" s="2"/>
      <c r="D22" s="2"/>
      <c r="E22" s="2"/>
      <c r="F22" s="2"/>
      <c r="G22" s="2"/>
      <c r="H22" s="2"/>
      <c r="I22" s="2"/>
      <c r="J22" s="2"/>
      <c r="K22" s="2"/>
      <c r="L22" s="2"/>
      <c r="M22" s="2"/>
      <c r="N22" s="2">
        <v>1</v>
      </c>
      <c r="O22" s="2" t="s">
        <v>19</v>
      </c>
      <c r="P22" s="2">
        <v>2000</v>
      </c>
      <c r="Q22" s="2" t="s">
        <v>16</v>
      </c>
      <c r="R22" s="512">
        <v>0</v>
      </c>
    </row>
    <row r="23" spans="1:26">
      <c r="A23" s="2" t="s">
        <v>629</v>
      </c>
      <c r="B23" s="2">
        <v>0.98730000000000007</v>
      </c>
      <c r="C23" s="2">
        <v>1.9746000000000001</v>
      </c>
      <c r="D23" s="2">
        <v>0.98730000000000007</v>
      </c>
      <c r="E23" s="2"/>
      <c r="F23" s="2"/>
      <c r="G23" s="2"/>
      <c r="H23" s="2"/>
      <c r="I23" s="2"/>
      <c r="J23" s="2"/>
      <c r="K23" s="2"/>
      <c r="L23" s="2"/>
      <c r="M23" s="2"/>
      <c r="N23" s="2">
        <v>1</v>
      </c>
      <c r="O23" s="2" t="s">
        <v>15</v>
      </c>
      <c r="P23" s="2">
        <v>1</v>
      </c>
      <c r="Q23" s="2" t="s">
        <v>24</v>
      </c>
      <c r="R23" s="512">
        <v>0</v>
      </c>
      <c r="U23" s="132" t="s">
        <v>793</v>
      </c>
    </row>
    <row r="24" spans="1:26">
      <c r="A24" s="598" t="s">
        <v>742</v>
      </c>
      <c r="B24" s="2">
        <v>0.66539999999999999</v>
      </c>
      <c r="C24" s="2">
        <v>2.6616</v>
      </c>
      <c r="D24" s="2">
        <v>0.66539999999999999</v>
      </c>
      <c r="E24" s="2"/>
      <c r="F24" s="2"/>
      <c r="G24" s="2"/>
      <c r="H24" s="2"/>
      <c r="I24" s="2"/>
      <c r="J24" s="2"/>
      <c r="K24" s="2"/>
      <c r="L24" s="2"/>
      <c r="M24" s="2"/>
      <c r="N24" s="2">
        <v>1</v>
      </c>
      <c r="O24" s="2" t="s">
        <v>15</v>
      </c>
      <c r="P24" s="2">
        <v>1</v>
      </c>
      <c r="Q24" s="2" t="s">
        <v>24</v>
      </c>
      <c r="R24" s="512">
        <v>0</v>
      </c>
      <c r="U24" s="720" t="s">
        <v>791</v>
      </c>
    </row>
    <row r="25" spans="1:26">
      <c r="A25" s="2" t="s">
        <v>636</v>
      </c>
      <c r="B25" s="2">
        <v>0.06</v>
      </c>
      <c r="C25" s="2">
        <v>0.12</v>
      </c>
      <c r="D25" s="2">
        <v>0.12</v>
      </c>
      <c r="E25" s="2"/>
      <c r="F25" s="2"/>
      <c r="G25" s="2"/>
      <c r="H25" s="2"/>
      <c r="I25" s="2"/>
      <c r="J25" s="2"/>
      <c r="K25" s="2"/>
      <c r="L25" s="2"/>
      <c r="M25" s="2"/>
      <c r="N25" s="2">
        <v>1</v>
      </c>
      <c r="O25" s="2" t="s">
        <v>19</v>
      </c>
      <c r="P25" s="2">
        <v>2000</v>
      </c>
      <c r="Q25" s="2" t="s">
        <v>16</v>
      </c>
      <c r="R25" s="512">
        <v>0</v>
      </c>
      <c r="U25" s="720" t="s">
        <v>790</v>
      </c>
      <c r="W25" s="694" t="s">
        <v>789</v>
      </c>
    </row>
    <row r="26" spans="1:26">
      <c r="A26" s="2" t="s">
        <v>634</v>
      </c>
      <c r="B26" s="2">
        <v>0.05</v>
      </c>
      <c r="C26" s="2">
        <v>0.1</v>
      </c>
      <c r="D26" s="2">
        <v>0.05</v>
      </c>
      <c r="E26" s="2"/>
      <c r="F26" s="2"/>
      <c r="G26" s="2"/>
      <c r="H26" s="2"/>
      <c r="I26" s="2"/>
      <c r="J26" s="2"/>
      <c r="K26" s="2"/>
      <c r="L26" s="2"/>
      <c r="M26" s="2"/>
      <c r="N26" s="2">
        <v>1</v>
      </c>
      <c r="O26" s="2" t="s">
        <v>19</v>
      </c>
      <c r="P26" s="2">
        <v>2000</v>
      </c>
      <c r="Q26" s="2" t="s">
        <v>16</v>
      </c>
      <c r="R26" s="512">
        <v>0</v>
      </c>
    </row>
    <row r="27" spans="1:26">
      <c r="A27" s="2" t="s">
        <v>741</v>
      </c>
      <c r="B27" s="2">
        <v>0.35099999999999998</v>
      </c>
      <c r="C27" s="2">
        <v>2.1059999999999999</v>
      </c>
      <c r="D27" s="2">
        <v>2.1059999999999999</v>
      </c>
      <c r="E27" s="2"/>
      <c r="F27" s="2"/>
      <c r="G27" s="2"/>
      <c r="H27" s="2"/>
      <c r="I27" s="2"/>
      <c r="J27" s="2"/>
      <c r="K27" s="2"/>
      <c r="L27" s="2"/>
      <c r="M27" s="2"/>
      <c r="N27" s="2">
        <v>1</v>
      </c>
      <c r="O27" s="2" t="s">
        <v>15</v>
      </c>
      <c r="P27" s="2">
        <v>1</v>
      </c>
      <c r="Q27" s="2" t="s">
        <v>24</v>
      </c>
      <c r="R27" s="512">
        <v>0</v>
      </c>
      <c r="U27" s="721" t="s">
        <v>788</v>
      </c>
      <c r="V27"/>
      <c r="W27"/>
      <c r="X27"/>
      <c r="Y27"/>
      <c r="Z27"/>
    </row>
    <row r="28" spans="1:26" ht="15.6" customHeight="1">
      <c r="A28" s="2" t="s">
        <v>630</v>
      </c>
      <c r="B28" s="2">
        <v>0.19</v>
      </c>
      <c r="C28" s="2">
        <v>0.19</v>
      </c>
      <c r="D28" s="2">
        <v>0.19</v>
      </c>
      <c r="E28" s="2"/>
      <c r="F28" s="2"/>
      <c r="G28" s="2"/>
      <c r="H28" s="2"/>
      <c r="I28" s="2"/>
      <c r="J28" s="2"/>
      <c r="K28" s="2"/>
      <c r="L28" s="2"/>
      <c r="M28" s="2"/>
      <c r="N28" s="2">
        <v>1</v>
      </c>
      <c r="O28" s="2" t="s">
        <v>19</v>
      </c>
      <c r="P28" s="2">
        <v>2000</v>
      </c>
      <c r="Q28" s="2" t="s">
        <v>16</v>
      </c>
      <c r="R28" s="512">
        <v>0</v>
      </c>
      <c r="U28" s="974" t="s">
        <v>787</v>
      </c>
      <c r="V28" s="974"/>
      <c r="W28" s="974"/>
      <c r="X28" s="974"/>
      <c r="Y28" s="974"/>
      <c r="Z28" s="722"/>
    </row>
    <row r="29" spans="1:26">
      <c r="A29" s="2" t="s">
        <v>631</v>
      </c>
      <c r="B29" s="2">
        <v>1.738</v>
      </c>
      <c r="C29" s="2">
        <v>1.65</v>
      </c>
      <c r="D29" s="2">
        <v>0.22</v>
      </c>
      <c r="E29" s="2"/>
      <c r="F29" s="2"/>
      <c r="G29" s="2"/>
      <c r="H29" s="2"/>
      <c r="I29" s="2"/>
      <c r="J29" s="2"/>
      <c r="K29" s="2"/>
      <c r="L29" s="2"/>
      <c r="M29" s="2"/>
      <c r="N29" s="2">
        <v>1</v>
      </c>
      <c r="O29" s="2" t="s">
        <v>15</v>
      </c>
      <c r="P29" s="2">
        <v>1</v>
      </c>
      <c r="Q29" s="2" t="s">
        <v>24</v>
      </c>
      <c r="R29" s="512">
        <v>0</v>
      </c>
      <c r="U29" s="974"/>
      <c r="V29" s="974"/>
      <c r="W29" s="974"/>
      <c r="X29" s="974"/>
      <c r="Y29" s="974"/>
      <c r="Z29" s="722"/>
    </row>
    <row r="30" spans="1:26">
      <c r="A30" s="2" t="s">
        <v>632</v>
      </c>
      <c r="B30" s="2">
        <v>0.15</v>
      </c>
      <c r="C30" s="2">
        <v>0.15</v>
      </c>
      <c r="D30" s="2">
        <v>0.15</v>
      </c>
      <c r="E30" s="2"/>
      <c r="F30" s="2"/>
      <c r="G30" s="2"/>
      <c r="H30" s="2"/>
      <c r="I30" s="2"/>
      <c r="J30" s="2"/>
      <c r="K30" s="2"/>
      <c r="L30" s="2"/>
      <c r="M30" s="2"/>
      <c r="N30" s="2">
        <v>1</v>
      </c>
      <c r="O30" s="2" t="s">
        <v>19</v>
      </c>
      <c r="P30" s="2">
        <v>2000</v>
      </c>
      <c r="Q30" s="2" t="s">
        <v>16</v>
      </c>
      <c r="R30" s="512">
        <v>0</v>
      </c>
    </row>
    <row r="31" spans="1:26" ht="16.2" thickBot="1">
      <c r="A31" s="2" t="s">
        <v>633</v>
      </c>
      <c r="B31" s="2">
        <v>0.12</v>
      </c>
      <c r="C31" s="2">
        <v>0.24</v>
      </c>
      <c r="D31" s="2">
        <v>0.24</v>
      </c>
      <c r="E31" s="2"/>
      <c r="F31" s="2"/>
      <c r="G31" s="2"/>
      <c r="H31" s="2"/>
      <c r="I31" s="2"/>
      <c r="J31" s="2"/>
      <c r="K31" s="2"/>
      <c r="L31" s="2"/>
      <c r="M31" s="2"/>
      <c r="N31" s="2">
        <v>1</v>
      </c>
      <c r="O31" s="2" t="s">
        <v>19</v>
      </c>
      <c r="P31" s="2">
        <v>2000</v>
      </c>
      <c r="Q31" s="2" t="s">
        <v>16</v>
      </c>
      <c r="R31" s="512">
        <v>0</v>
      </c>
      <c r="U31" s="975" t="s">
        <v>822</v>
      </c>
      <c r="V31" s="975"/>
      <c r="W31" s="975"/>
      <c r="X31" s="975"/>
      <c r="Y31" s="975"/>
    </row>
    <row r="32" spans="1:26">
      <c r="A32" s="2" t="s">
        <v>635</v>
      </c>
      <c r="B32" s="2">
        <v>0.1</v>
      </c>
      <c r="C32" s="2">
        <v>0.1</v>
      </c>
      <c r="D32" s="2">
        <v>0.1</v>
      </c>
      <c r="E32" s="2"/>
      <c r="F32" s="2"/>
      <c r="G32" s="2"/>
      <c r="H32" s="2"/>
      <c r="I32" s="2"/>
      <c r="J32" s="2"/>
      <c r="K32" s="2"/>
      <c r="L32" s="2"/>
      <c r="M32" s="2"/>
      <c r="N32" s="2">
        <v>1</v>
      </c>
      <c r="O32" s="2" t="s">
        <v>19</v>
      </c>
      <c r="P32" s="2">
        <v>2000</v>
      </c>
      <c r="Q32" s="2" t="s">
        <v>16</v>
      </c>
      <c r="R32" s="512">
        <v>0</v>
      </c>
      <c r="U32" s="60" t="s">
        <v>823</v>
      </c>
      <c r="Y32" s="19" t="s">
        <v>824</v>
      </c>
    </row>
    <row r="33" spans="1:25">
      <c r="A33" s="2" t="s">
        <v>815</v>
      </c>
      <c r="B33" s="715">
        <f>U35</f>
        <v>42</v>
      </c>
      <c r="C33" s="715">
        <f>V35</f>
        <v>75</v>
      </c>
      <c r="D33" s="715">
        <f>W35</f>
        <v>57</v>
      </c>
      <c r="E33" s="715">
        <f>X35</f>
        <v>8</v>
      </c>
      <c r="F33" s="2"/>
      <c r="G33" s="2"/>
      <c r="H33" s="2"/>
      <c r="I33" s="2"/>
      <c r="J33" s="2"/>
      <c r="K33" s="2"/>
      <c r="L33" s="2"/>
      <c r="M33" s="2"/>
      <c r="N33" s="2">
        <v>2000</v>
      </c>
      <c r="O33" s="2" t="s">
        <v>16</v>
      </c>
      <c r="P33" s="2">
        <v>2000</v>
      </c>
      <c r="Q33" s="2" t="s">
        <v>16</v>
      </c>
      <c r="R33" s="512">
        <v>0</v>
      </c>
      <c r="S33" s="716" t="s">
        <v>816</v>
      </c>
      <c r="U33" s="19" t="s">
        <v>108</v>
      </c>
      <c r="V33" s="19" t="s">
        <v>109</v>
      </c>
      <c r="W33" s="19" t="s">
        <v>110</v>
      </c>
      <c r="X33" s="19" t="s">
        <v>111</v>
      </c>
      <c r="Y33" s="717"/>
    </row>
    <row r="34" spans="1:25" ht="15.75" customHeight="1">
      <c r="A34" s="2" t="s">
        <v>817</v>
      </c>
      <c r="B34" s="715">
        <f>U40</f>
        <v>43</v>
      </c>
      <c r="C34" s="715">
        <f>V40</f>
        <v>17</v>
      </c>
      <c r="D34" s="715">
        <f>W40</f>
        <v>38</v>
      </c>
      <c r="E34" s="715">
        <f>X40</f>
        <v>10</v>
      </c>
      <c r="F34" s="2"/>
      <c r="G34" s="2"/>
      <c r="H34" s="2"/>
      <c r="I34" s="2"/>
      <c r="J34" s="2"/>
      <c r="K34" s="2"/>
      <c r="L34" s="2"/>
      <c r="M34" s="2"/>
      <c r="N34" s="2">
        <v>1</v>
      </c>
      <c r="O34" s="2" t="s">
        <v>818</v>
      </c>
      <c r="P34" s="2">
        <v>1</v>
      </c>
      <c r="Q34" s="2" t="s">
        <v>24</v>
      </c>
      <c r="R34" s="512">
        <v>0</v>
      </c>
      <c r="S34" s="716" t="s">
        <v>816</v>
      </c>
      <c r="U34" s="597">
        <v>42</v>
      </c>
      <c r="V34" s="597">
        <v>75</v>
      </c>
      <c r="W34" s="597">
        <v>57</v>
      </c>
      <c r="X34" s="597">
        <v>8</v>
      </c>
      <c r="Y34" s="718" t="s">
        <v>783</v>
      </c>
    </row>
    <row r="35" spans="1:25">
      <c r="A35" s="2" t="s">
        <v>820</v>
      </c>
      <c r="B35" s="597">
        <v>0</v>
      </c>
      <c r="C35" s="597">
        <v>0</v>
      </c>
      <c r="D35" s="597">
        <v>0</v>
      </c>
      <c r="E35" s="597">
        <v>0</v>
      </c>
      <c r="F35" s="597">
        <v>0</v>
      </c>
      <c r="G35" s="597">
        <v>0</v>
      </c>
      <c r="H35" s="597">
        <v>0</v>
      </c>
      <c r="I35" s="597">
        <v>0</v>
      </c>
      <c r="J35" s="597">
        <v>0</v>
      </c>
      <c r="K35" s="597">
        <v>0</v>
      </c>
      <c r="L35" s="597">
        <v>0</v>
      </c>
      <c r="M35" s="597">
        <v>0</v>
      </c>
      <c r="N35" s="597">
        <v>0</v>
      </c>
      <c r="O35" s="596" t="s">
        <v>737</v>
      </c>
      <c r="P35" s="597">
        <v>0</v>
      </c>
      <c r="Q35" s="596" t="s">
        <v>737</v>
      </c>
      <c r="R35" s="512">
        <v>0</v>
      </c>
      <c r="U35" s="719">
        <f>'Manure and Nutrient Credits'!E38</f>
        <v>42</v>
      </c>
      <c r="V35" s="719">
        <f>'Manure and Nutrient Credits'!F38</f>
        <v>75</v>
      </c>
      <c r="W35" s="719">
        <f>'Manure and Nutrient Credits'!G38</f>
        <v>57</v>
      </c>
      <c r="X35" s="719">
        <f>'Manure and Nutrient Credits'!H38</f>
        <v>8</v>
      </c>
      <c r="Y35" s="60" t="s">
        <v>821</v>
      </c>
    </row>
    <row r="36" spans="1:25">
      <c r="A36" s="596" t="s">
        <v>737</v>
      </c>
      <c r="B36" s="597">
        <v>0</v>
      </c>
      <c r="C36" s="597">
        <v>0</v>
      </c>
      <c r="D36" s="597">
        <v>0</v>
      </c>
      <c r="E36" s="597">
        <v>0</v>
      </c>
      <c r="F36" s="597">
        <v>0</v>
      </c>
      <c r="G36" s="597">
        <v>0</v>
      </c>
      <c r="H36" s="597">
        <v>0</v>
      </c>
      <c r="I36" s="597">
        <v>0</v>
      </c>
      <c r="J36" s="597">
        <v>0</v>
      </c>
      <c r="K36" s="597">
        <v>0</v>
      </c>
      <c r="L36" s="597">
        <v>0</v>
      </c>
      <c r="M36" s="597">
        <v>0</v>
      </c>
      <c r="N36" s="597">
        <v>0</v>
      </c>
      <c r="O36" s="596" t="s">
        <v>737</v>
      </c>
      <c r="P36" s="597">
        <v>0</v>
      </c>
      <c r="Q36" s="596" t="s">
        <v>737</v>
      </c>
      <c r="R36" s="512">
        <v>0</v>
      </c>
    </row>
    <row r="37" spans="1:25">
      <c r="A37" s="596" t="s">
        <v>737</v>
      </c>
      <c r="B37" s="597">
        <v>0</v>
      </c>
      <c r="C37" s="597">
        <v>0</v>
      </c>
      <c r="D37" s="597">
        <v>0</v>
      </c>
      <c r="E37" s="597">
        <v>0</v>
      </c>
      <c r="F37" s="597">
        <v>0</v>
      </c>
      <c r="G37" s="597">
        <v>0</v>
      </c>
      <c r="H37" s="597">
        <v>0</v>
      </c>
      <c r="I37" s="597">
        <v>0</v>
      </c>
      <c r="J37" s="597">
        <v>0</v>
      </c>
      <c r="K37" s="597">
        <v>0</v>
      </c>
      <c r="L37" s="597">
        <v>0</v>
      </c>
      <c r="M37" s="597">
        <v>0</v>
      </c>
      <c r="N37" s="597">
        <v>0</v>
      </c>
      <c r="O37" s="596" t="s">
        <v>737</v>
      </c>
      <c r="P37" s="597">
        <v>0</v>
      </c>
      <c r="Q37" s="596" t="s">
        <v>737</v>
      </c>
      <c r="R37" s="512">
        <v>0</v>
      </c>
      <c r="U37" s="60" t="s">
        <v>825</v>
      </c>
      <c r="Y37" s="19" t="s">
        <v>824</v>
      </c>
    </row>
    <row r="38" spans="1:25">
      <c r="A38" s="596" t="s">
        <v>737</v>
      </c>
      <c r="B38" s="597">
        <v>0</v>
      </c>
      <c r="C38" s="597">
        <v>0</v>
      </c>
      <c r="D38" s="597">
        <v>0</v>
      </c>
      <c r="E38" s="597">
        <v>0</v>
      </c>
      <c r="F38" s="597">
        <v>0</v>
      </c>
      <c r="G38" s="597">
        <v>0</v>
      </c>
      <c r="H38" s="597">
        <v>0</v>
      </c>
      <c r="I38" s="597">
        <v>0</v>
      </c>
      <c r="J38" s="597">
        <v>0</v>
      </c>
      <c r="K38" s="597">
        <v>0</v>
      </c>
      <c r="L38" s="597">
        <v>0</v>
      </c>
      <c r="M38" s="597">
        <v>0</v>
      </c>
      <c r="N38" s="597">
        <v>0</v>
      </c>
      <c r="O38" s="596" t="s">
        <v>737</v>
      </c>
      <c r="P38" s="597">
        <v>0</v>
      </c>
      <c r="Q38" s="596" t="s">
        <v>737</v>
      </c>
      <c r="R38" s="512">
        <v>0</v>
      </c>
      <c r="U38" s="19" t="s">
        <v>108</v>
      </c>
      <c r="V38" s="19" t="s">
        <v>109</v>
      </c>
      <c r="W38" s="19" t="s">
        <v>110</v>
      </c>
      <c r="X38" s="19" t="s">
        <v>111</v>
      </c>
      <c r="Y38" s="717"/>
    </row>
    <row r="39" spans="1:25">
      <c r="A39" s="596" t="s">
        <v>737</v>
      </c>
      <c r="B39" s="597">
        <v>0</v>
      </c>
      <c r="C39" s="597">
        <v>0</v>
      </c>
      <c r="D39" s="597">
        <v>0</v>
      </c>
      <c r="E39" s="597">
        <v>0</v>
      </c>
      <c r="F39" s="597">
        <v>0</v>
      </c>
      <c r="G39" s="597">
        <v>0</v>
      </c>
      <c r="H39" s="597">
        <v>0</v>
      </c>
      <c r="I39" s="597">
        <v>0</v>
      </c>
      <c r="J39" s="597">
        <v>0</v>
      </c>
      <c r="K39" s="597">
        <v>0</v>
      </c>
      <c r="L39" s="597">
        <v>0</v>
      </c>
      <c r="M39" s="597">
        <v>0</v>
      </c>
      <c r="N39" s="597">
        <v>0</v>
      </c>
      <c r="O39" s="596" t="s">
        <v>737</v>
      </c>
      <c r="P39" s="597">
        <v>0</v>
      </c>
      <c r="Q39" s="596" t="s">
        <v>737</v>
      </c>
      <c r="R39" s="512">
        <v>0</v>
      </c>
      <c r="U39" s="597">
        <v>43</v>
      </c>
      <c r="V39" s="597">
        <v>17</v>
      </c>
      <c r="W39" s="597">
        <v>38</v>
      </c>
      <c r="X39" s="597">
        <v>10</v>
      </c>
      <c r="Y39" s="718" t="s">
        <v>783</v>
      </c>
    </row>
    <row r="40" spans="1:25">
      <c r="A40" s="596" t="s">
        <v>737</v>
      </c>
      <c r="B40" s="597">
        <v>0</v>
      </c>
      <c r="C40" s="597">
        <v>0</v>
      </c>
      <c r="D40" s="597">
        <v>0</v>
      </c>
      <c r="E40" s="597">
        <v>0</v>
      </c>
      <c r="F40" s="597">
        <v>0</v>
      </c>
      <c r="G40" s="597">
        <v>0</v>
      </c>
      <c r="H40" s="597">
        <v>0</v>
      </c>
      <c r="I40" s="597">
        <v>0</v>
      </c>
      <c r="J40" s="597">
        <v>0</v>
      </c>
      <c r="K40" s="597">
        <v>0</v>
      </c>
      <c r="L40" s="597">
        <v>0</v>
      </c>
      <c r="M40" s="597">
        <v>0</v>
      </c>
      <c r="N40" s="597">
        <v>0</v>
      </c>
      <c r="O40" s="596" t="s">
        <v>737</v>
      </c>
      <c r="P40" s="597">
        <v>0</v>
      </c>
      <c r="Q40" s="596" t="s">
        <v>737</v>
      </c>
      <c r="R40" s="512">
        <v>0</v>
      </c>
      <c r="U40" s="719">
        <f>'Manure and Nutrient Credits'!E41</f>
        <v>43</v>
      </c>
      <c r="V40" s="719">
        <f>'Manure and Nutrient Credits'!F41</f>
        <v>17</v>
      </c>
      <c r="W40" s="719">
        <f>'Manure and Nutrient Credits'!G41</f>
        <v>38</v>
      </c>
      <c r="X40" s="719">
        <f>'Manure and Nutrient Credits'!H41</f>
        <v>10</v>
      </c>
      <c r="Y40" s="60" t="s">
        <v>821</v>
      </c>
    </row>
    <row r="41" spans="1:25">
      <c r="A41" s="596" t="s">
        <v>737</v>
      </c>
      <c r="B41" s="597">
        <v>0</v>
      </c>
      <c r="C41" s="597">
        <v>0</v>
      </c>
      <c r="D41" s="597">
        <v>0</v>
      </c>
      <c r="E41" s="597">
        <v>0</v>
      </c>
      <c r="F41" s="597">
        <v>0</v>
      </c>
      <c r="G41" s="597">
        <v>0</v>
      </c>
      <c r="H41" s="597">
        <v>0</v>
      </c>
      <c r="I41" s="597">
        <v>0</v>
      </c>
      <c r="J41" s="597">
        <v>0</v>
      </c>
      <c r="K41" s="597">
        <v>0</v>
      </c>
      <c r="L41" s="597">
        <v>0</v>
      </c>
      <c r="M41" s="597">
        <v>0</v>
      </c>
      <c r="N41" s="597">
        <v>0</v>
      </c>
      <c r="O41" s="596" t="s">
        <v>737</v>
      </c>
      <c r="P41" s="597">
        <v>0</v>
      </c>
      <c r="Q41" s="596" t="s">
        <v>737</v>
      </c>
      <c r="R41" s="512">
        <v>0</v>
      </c>
    </row>
    <row r="42" spans="1:25">
      <c r="A42" s="596" t="s">
        <v>737</v>
      </c>
      <c r="B42" s="597">
        <v>0</v>
      </c>
      <c r="C42" s="597">
        <v>0</v>
      </c>
      <c r="D42" s="597">
        <v>0</v>
      </c>
      <c r="E42" s="597">
        <v>0</v>
      </c>
      <c r="F42" s="597">
        <v>0</v>
      </c>
      <c r="G42" s="597">
        <v>0</v>
      </c>
      <c r="H42" s="597">
        <v>0</v>
      </c>
      <c r="I42" s="597">
        <v>0</v>
      </c>
      <c r="J42" s="597">
        <v>0</v>
      </c>
      <c r="K42" s="597">
        <v>0</v>
      </c>
      <c r="L42" s="597">
        <v>0</v>
      </c>
      <c r="M42" s="597">
        <v>0</v>
      </c>
      <c r="N42" s="597">
        <v>0</v>
      </c>
      <c r="O42" s="596" t="s">
        <v>737</v>
      </c>
      <c r="P42" s="597">
        <v>0</v>
      </c>
      <c r="Q42" s="596" t="s">
        <v>737</v>
      </c>
      <c r="R42" s="512">
        <v>0</v>
      </c>
    </row>
    <row r="43" spans="1:25">
      <c r="A43" s="596" t="s">
        <v>737</v>
      </c>
      <c r="B43" s="597">
        <v>0</v>
      </c>
      <c r="C43" s="597">
        <v>0</v>
      </c>
      <c r="D43" s="597">
        <v>0</v>
      </c>
      <c r="E43" s="597">
        <v>0</v>
      </c>
      <c r="F43" s="597">
        <v>0</v>
      </c>
      <c r="G43" s="597">
        <v>0</v>
      </c>
      <c r="H43" s="597">
        <v>0</v>
      </c>
      <c r="I43" s="597">
        <v>0</v>
      </c>
      <c r="J43" s="597">
        <v>0</v>
      </c>
      <c r="K43" s="597">
        <v>0</v>
      </c>
      <c r="L43" s="597">
        <v>0</v>
      </c>
      <c r="M43" s="597">
        <v>0</v>
      </c>
      <c r="N43" s="597">
        <v>0</v>
      </c>
      <c r="O43" s="596" t="s">
        <v>737</v>
      </c>
      <c r="P43" s="597">
        <v>0</v>
      </c>
      <c r="Q43" s="596" t="s">
        <v>737</v>
      </c>
      <c r="R43" s="512">
        <v>0</v>
      </c>
      <c r="U43" s="976" t="s">
        <v>826</v>
      </c>
      <c r="V43" s="976"/>
      <c r="W43" s="976"/>
      <c r="X43" s="976"/>
      <c r="Y43" s="976"/>
    </row>
    <row r="44" spans="1:25">
      <c r="A44" s="596" t="s">
        <v>737</v>
      </c>
      <c r="B44" s="597">
        <v>0</v>
      </c>
      <c r="C44" s="597">
        <v>0</v>
      </c>
      <c r="D44" s="597">
        <v>0</v>
      </c>
      <c r="E44" s="597">
        <v>0</v>
      </c>
      <c r="F44" s="597">
        <v>0</v>
      </c>
      <c r="G44" s="597">
        <v>0</v>
      </c>
      <c r="H44" s="597">
        <v>0</v>
      </c>
      <c r="I44" s="597">
        <v>0</v>
      </c>
      <c r="J44" s="597">
        <v>0</v>
      </c>
      <c r="K44" s="597">
        <v>0</v>
      </c>
      <c r="L44" s="597">
        <v>0</v>
      </c>
      <c r="M44" s="597">
        <v>0</v>
      </c>
      <c r="N44" s="597">
        <v>0</v>
      </c>
      <c r="O44" s="596" t="s">
        <v>737</v>
      </c>
      <c r="P44" s="597">
        <v>0</v>
      </c>
      <c r="Q44" s="596" t="s">
        <v>737</v>
      </c>
      <c r="R44" s="512">
        <v>0</v>
      </c>
      <c r="U44" s="976"/>
      <c r="V44" s="976"/>
      <c r="W44" s="976"/>
      <c r="X44" s="976"/>
      <c r="Y44" s="976"/>
    </row>
    <row r="45" spans="1:25">
      <c r="A45" s="2"/>
      <c r="B45" s="2"/>
      <c r="C45" s="2"/>
      <c r="D45" s="2"/>
      <c r="E45" s="2"/>
      <c r="F45" s="2"/>
      <c r="G45" s="2"/>
      <c r="H45" s="2"/>
      <c r="I45" s="2"/>
      <c r="J45" s="2"/>
      <c r="K45" s="2"/>
      <c r="L45" s="2"/>
      <c r="M45" s="2"/>
      <c r="N45" s="2"/>
      <c r="O45" s="2"/>
      <c r="P45" s="2"/>
      <c r="Q45" s="2"/>
      <c r="R45" s="513"/>
    </row>
    <row r="46" spans="1:25">
      <c r="A46" s="2"/>
      <c r="B46" s="2"/>
      <c r="C46" s="2"/>
      <c r="D46" s="2"/>
      <c r="E46" s="2"/>
      <c r="F46" s="2"/>
      <c r="G46" s="2"/>
      <c r="H46" s="2"/>
      <c r="I46" s="2"/>
      <c r="J46" s="2"/>
      <c r="K46" s="2"/>
      <c r="L46" s="2"/>
      <c r="M46" s="2"/>
      <c r="N46" s="2"/>
      <c r="O46" s="2"/>
      <c r="P46" s="2"/>
      <c r="Q46" s="2"/>
      <c r="R46" s="513"/>
    </row>
    <row r="47" spans="1:25">
      <c r="A47" s="606" t="s">
        <v>27</v>
      </c>
      <c r="B47" s="2" t="s">
        <v>2</v>
      </c>
      <c r="C47" s="2" t="s">
        <v>3</v>
      </c>
      <c r="D47" s="2" t="s">
        <v>4</v>
      </c>
      <c r="E47" s="2" t="s">
        <v>5</v>
      </c>
      <c r="F47" s="2" t="s">
        <v>6</v>
      </c>
      <c r="G47" s="2" t="s">
        <v>7</v>
      </c>
      <c r="H47" s="2" t="s">
        <v>8</v>
      </c>
      <c r="I47" s="2" t="s">
        <v>9</v>
      </c>
      <c r="J47" s="2" t="s">
        <v>740</v>
      </c>
      <c r="K47" s="2" t="s">
        <v>861</v>
      </c>
      <c r="L47" s="2" t="s">
        <v>863</v>
      </c>
      <c r="M47" s="2" t="s">
        <v>862</v>
      </c>
      <c r="N47" s="2" t="s">
        <v>10</v>
      </c>
      <c r="O47" s="2" t="s">
        <v>11</v>
      </c>
      <c r="P47" s="2" t="s">
        <v>12</v>
      </c>
      <c r="Q47" s="2"/>
      <c r="R47" s="511" t="s">
        <v>146</v>
      </c>
    </row>
    <row r="48" spans="1:25" ht="15.6" hidden="1" customHeight="1">
      <c r="A48" s="2" t="s">
        <v>13</v>
      </c>
      <c r="B48" s="2"/>
      <c r="C48" s="2"/>
      <c r="D48" s="2"/>
      <c r="E48" s="2"/>
      <c r="F48" s="2"/>
      <c r="G48" s="2"/>
      <c r="H48" s="2"/>
      <c r="I48" s="2"/>
      <c r="J48" s="2"/>
      <c r="K48" s="2"/>
      <c r="L48" s="2"/>
      <c r="M48" s="2"/>
      <c r="N48" s="2"/>
      <c r="O48" s="2"/>
      <c r="P48" s="2">
        <v>1</v>
      </c>
      <c r="Q48" s="2" t="s">
        <v>13</v>
      </c>
      <c r="R48" s="513">
        <v>0</v>
      </c>
    </row>
    <row r="49" spans="1:18">
      <c r="A49" s="2" t="s">
        <v>28</v>
      </c>
      <c r="B49" s="2"/>
      <c r="C49" s="2"/>
      <c r="D49" s="2"/>
      <c r="E49" s="2"/>
      <c r="F49" s="2"/>
      <c r="G49" s="2"/>
      <c r="H49" s="2"/>
      <c r="I49" s="2">
        <v>0.14299999999999999</v>
      </c>
      <c r="J49" s="2"/>
      <c r="K49" s="2"/>
      <c r="L49" s="2"/>
      <c r="M49" s="2"/>
      <c r="N49" s="2">
        <v>1</v>
      </c>
      <c r="O49" s="2" t="s">
        <v>19</v>
      </c>
      <c r="P49" s="2">
        <v>1</v>
      </c>
      <c r="Q49" s="2" t="s">
        <v>29</v>
      </c>
      <c r="R49" s="512">
        <v>0</v>
      </c>
    </row>
    <row r="50" spans="1:18">
      <c r="A50" s="2" t="s">
        <v>30</v>
      </c>
      <c r="B50" s="2"/>
      <c r="C50" s="2"/>
      <c r="D50" s="2"/>
      <c r="E50" s="2"/>
      <c r="F50" s="2"/>
      <c r="G50" s="2"/>
      <c r="H50" s="2">
        <v>0.35499999999999998</v>
      </c>
      <c r="I50" s="2"/>
      <c r="J50" s="2"/>
      <c r="K50" s="2"/>
      <c r="L50" s="2"/>
      <c r="M50" s="2"/>
      <c r="N50" s="2">
        <v>1</v>
      </c>
      <c r="O50" s="2" t="s">
        <v>19</v>
      </c>
      <c r="P50" s="2">
        <v>1</v>
      </c>
      <c r="Q50" s="2" t="s">
        <v>29</v>
      </c>
      <c r="R50" s="512">
        <v>0</v>
      </c>
    </row>
    <row r="51" spans="1:18">
      <c r="A51" s="2" t="s">
        <v>431</v>
      </c>
      <c r="B51" s="2">
        <v>0.318</v>
      </c>
      <c r="C51" s="2"/>
      <c r="D51" s="2"/>
      <c r="E51" s="2"/>
      <c r="F51" s="2"/>
      <c r="G51" s="2"/>
      <c r="H51" s="2">
        <v>0.318</v>
      </c>
      <c r="I51" s="2"/>
      <c r="J51" s="2"/>
      <c r="K51" s="2"/>
      <c r="L51" s="2"/>
      <c r="M51" s="2"/>
      <c r="N51" s="2">
        <v>1</v>
      </c>
      <c r="O51" s="2" t="s">
        <v>31</v>
      </c>
      <c r="P51" s="2">
        <v>4</v>
      </c>
      <c r="Q51" s="2" t="s">
        <v>24</v>
      </c>
      <c r="R51" s="512">
        <v>0</v>
      </c>
    </row>
    <row r="52" spans="1:18">
      <c r="A52" s="2" t="s">
        <v>432</v>
      </c>
      <c r="B52" s="2"/>
      <c r="C52" s="2"/>
      <c r="D52" s="2"/>
      <c r="E52" s="2"/>
      <c r="F52" s="2"/>
      <c r="G52" s="2"/>
      <c r="H52" s="2"/>
      <c r="I52" s="2">
        <f>(11.12*0.25)*0.1</f>
        <v>0.27799999999999997</v>
      </c>
      <c r="J52" s="2"/>
      <c r="K52" s="2"/>
      <c r="L52" s="2"/>
      <c r="M52" s="2"/>
      <c r="N52" s="2">
        <v>1</v>
      </c>
      <c r="O52" s="2" t="s">
        <v>31</v>
      </c>
      <c r="P52" s="2">
        <v>4</v>
      </c>
      <c r="Q52" s="2" t="s">
        <v>24</v>
      </c>
      <c r="R52" s="512">
        <v>0</v>
      </c>
    </row>
    <row r="53" spans="1:18">
      <c r="A53" s="2" t="s">
        <v>750</v>
      </c>
      <c r="B53" s="2"/>
      <c r="C53" s="2"/>
      <c r="D53" s="2"/>
      <c r="E53" s="2">
        <v>0.18</v>
      </c>
      <c r="F53" s="2"/>
      <c r="G53" s="2"/>
      <c r="H53" s="2"/>
      <c r="I53" s="2"/>
      <c r="J53" s="2">
        <v>0.33</v>
      </c>
      <c r="K53" s="2"/>
      <c r="L53" s="2"/>
      <c r="M53" s="2"/>
      <c r="N53" s="2">
        <v>1</v>
      </c>
      <c r="O53" s="2" t="s">
        <v>19</v>
      </c>
      <c r="P53" s="2">
        <v>1</v>
      </c>
      <c r="Q53" s="2" t="s">
        <v>29</v>
      </c>
      <c r="R53" s="512">
        <v>0</v>
      </c>
    </row>
    <row r="54" spans="1:18">
      <c r="A54" s="2" t="s">
        <v>738</v>
      </c>
      <c r="B54" s="2">
        <v>35.5</v>
      </c>
      <c r="C54" s="2"/>
      <c r="D54" s="2"/>
      <c r="E54" s="2">
        <v>0.185</v>
      </c>
      <c r="F54" s="2"/>
      <c r="G54" s="2"/>
      <c r="H54" s="2"/>
      <c r="I54" s="2"/>
      <c r="J54" s="2"/>
      <c r="K54" s="2"/>
      <c r="L54" s="2"/>
      <c r="M54" s="2"/>
      <c r="N54" s="2">
        <v>1</v>
      </c>
      <c r="O54" s="2" t="s">
        <v>19</v>
      </c>
      <c r="P54" s="2">
        <v>1</v>
      </c>
      <c r="Q54" s="2" t="s">
        <v>29</v>
      </c>
      <c r="R54" s="512">
        <v>0</v>
      </c>
    </row>
    <row r="55" spans="1:18">
      <c r="A55" s="2" t="s">
        <v>739</v>
      </c>
      <c r="B55" s="2"/>
      <c r="C55" s="2"/>
      <c r="D55" s="2"/>
      <c r="E55" s="2">
        <v>0.14000000000000001</v>
      </c>
      <c r="F55" s="2">
        <v>9.0999999999999998E-2</v>
      </c>
      <c r="G55" s="2"/>
      <c r="H55" s="2"/>
      <c r="I55" s="2"/>
      <c r="J55" s="2"/>
      <c r="K55" s="2"/>
      <c r="L55" s="2"/>
      <c r="M55" s="2"/>
      <c r="N55" s="2">
        <v>1</v>
      </c>
      <c r="O55" s="2" t="s">
        <v>19</v>
      </c>
      <c r="P55" s="2">
        <v>1</v>
      </c>
      <c r="Q55" s="2" t="s">
        <v>29</v>
      </c>
      <c r="R55" s="512">
        <v>0</v>
      </c>
    </row>
    <row r="56" spans="1:18">
      <c r="A56" s="2" t="s">
        <v>743</v>
      </c>
      <c r="B56" s="2"/>
      <c r="C56" s="2"/>
      <c r="D56" s="2"/>
      <c r="E56" s="2"/>
      <c r="F56" s="2"/>
      <c r="G56" s="2"/>
      <c r="H56" s="2"/>
      <c r="I56" s="2">
        <v>0.1</v>
      </c>
      <c r="J56" s="2"/>
      <c r="K56" s="2"/>
      <c r="L56" s="2"/>
      <c r="M56" s="2"/>
      <c r="N56" s="2">
        <v>1</v>
      </c>
      <c r="O56" s="2" t="s">
        <v>15</v>
      </c>
      <c r="P56" s="2">
        <v>1</v>
      </c>
      <c r="Q56" s="2" t="s">
        <v>24</v>
      </c>
      <c r="R56" s="512">
        <v>0</v>
      </c>
    </row>
    <row r="57" spans="1:18">
      <c r="A57" s="2" t="s">
        <v>746</v>
      </c>
      <c r="B57" s="2">
        <v>0.19</v>
      </c>
      <c r="C57" s="2"/>
      <c r="D57" s="2"/>
      <c r="E57" s="2"/>
      <c r="F57" s="2"/>
      <c r="G57" s="2"/>
      <c r="H57" s="2">
        <v>0.25</v>
      </c>
      <c r="I57" s="2"/>
      <c r="J57" s="2"/>
      <c r="K57" s="2"/>
      <c r="L57" s="2"/>
      <c r="M57" s="2"/>
      <c r="N57" s="2">
        <v>1</v>
      </c>
      <c r="O57" s="2" t="s">
        <v>31</v>
      </c>
      <c r="P57" s="2">
        <v>4</v>
      </c>
      <c r="Q57" s="2" t="s">
        <v>24</v>
      </c>
      <c r="R57" s="512">
        <v>0</v>
      </c>
    </row>
    <row r="58" spans="1:18">
      <c r="A58" s="596" t="s">
        <v>737</v>
      </c>
      <c r="B58" s="597">
        <v>0</v>
      </c>
      <c r="C58" s="597">
        <v>0</v>
      </c>
      <c r="D58" s="597">
        <v>0</v>
      </c>
      <c r="E58" s="597">
        <v>0</v>
      </c>
      <c r="F58" s="597">
        <v>0</v>
      </c>
      <c r="G58" s="597">
        <v>0</v>
      </c>
      <c r="H58" s="597">
        <v>0</v>
      </c>
      <c r="I58" s="597">
        <v>0</v>
      </c>
      <c r="J58" s="597">
        <v>0</v>
      </c>
      <c r="K58" s="597">
        <v>0</v>
      </c>
      <c r="L58" s="597">
        <v>0</v>
      </c>
      <c r="M58" s="597">
        <v>0</v>
      </c>
      <c r="N58" s="597">
        <v>0</v>
      </c>
      <c r="O58" s="596" t="s">
        <v>737</v>
      </c>
      <c r="P58" s="597">
        <v>0</v>
      </c>
      <c r="Q58" s="596" t="s">
        <v>737</v>
      </c>
      <c r="R58" s="512">
        <v>0</v>
      </c>
    </row>
    <row r="59" spans="1:18">
      <c r="A59" s="596" t="s">
        <v>737</v>
      </c>
      <c r="B59" s="597">
        <v>0</v>
      </c>
      <c r="C59" s="597">
        <v>0</v>
      </c>
      <c r="D59" s="597">
        <v>0</v>
      </c>
      <c r="E59" s="597">
        <v>0</v>
      </c>
      <c r="F59" s="597">
        <v>0</v>
      </c>
      <c r="G59" s="597">
        <v>0</v>
      </c>
      <c r="H59" s="597">
        <v>0</v>
      </c>
      <c r="I59" s="597">
        <v>0</v>
      </c>
      <c r="J59" s="597">
        <v>0</v>
      </c>
      <c r="K59" s="597">
        <v>0</v>
      </c>
      <c r="L59" s="597">
        <v>0</v>
      </c>
      <c r="M59" s="597">
        <v>0</v>
      </c>
      <c r="N59" s="597">
        <v>0</v>
      </c>
      <c r="O59" s="596" t="s">
        <v>737</v>
      </c>
      <c r="P59" s="597">
        <v>1</v>
      </c>
      <c r="Q59" s="596" t="s">
        <v>737</v>
      </c>
      <c r="R59" s="512">
        <v>0</v>
      </c>
    </row>
    <row r="60" spans="1:18">
      <c r="A60" s="596" t="s">
        <v>737</v>
      </c>
      <c r="B60" s="597">
        <v>0</v>
      </c>
      <c r="C60" s="597">
        <v>0</v>
      </c>
      <c r="D60" s="597">
        <v>0</v>
      </c>
      <c r="E60" s="597">
        <v>0</v>
      </c>
      <c r="F60" s="597">
        <v>0</v>
      </c>
      <c r="G60" s="597">
        <v>0</v>
      </c>
      <c r="H60" s="597">
        <v>0</v>
      </c>
      <c r="I60" s="597">
        <v>0</v>
      </c>
      <c r="J60" s="597">
        <v>0</v>
      </c>
      <c r="K60" s="597">
        <v>0</v>
      </c>
      <c r="L60" s="597">
        <v>0</v>
      </c>
      <c r="M60" s="597">
        <v>0</v>
      </c>
      <c r="N60" s="597">
        <v>0</v>
      </c>
      <c r="O60" s="596" t="s">
        <v>737</v>
      </c>
      <c r="P60" s="597">
        <v>2</v>
      </c>
      <c r="Q60" s="596" t="s">
        <v>737</v>
      </c>
      <c r="R60" s="512">
        <v>0</v>
      </c>
    </row>
    <row r="61" spans="1:18">
      <c r="A61" s="596" t="s">
        <v>737</v>
      </c>
      <c r="B61" s="597">
        <v>0</v>
      </c>
      <c r="C61" s="597">
        <v>0</v>
      </c>
      <c r="D61" s="597">
        <v>0</v>
      </c>
      <c r="E61" s="597">
        <v>0</v>
      </c>
      <c r="F61" s="597">
        <v>0</v>
      </c>
      <c r="G61" s="597">
        <v>0</v>
      </c>
      <c r="H61" s="597">
        <v>0</v>
      </c>
      <c r="I61" s="597">
        <v>0</v>
      </c>
      <c r="J61" s="597">
        <v>0</v>
      </c>
      <c r="K61" s="597">
        <v>0</v>
      </c>
      <c r="L61" s="597">
        <v>0</v>
      </c>
      <c r="M61" s="597">
        <v>0</v>
      </c>
      <c r="N61" s="597">
        <v>0</v>
      </c>
      <c r="O61" s="596" t="s">
        <v>737</v>
      </c>
      <c r="P61" s="597">
        <v>3</v>
      </c>
      <c r="Q61" s="596" t="s">
        <v>737</v>
      </c>
      <c r="R61" s="512">
        <v>0</v>
      </c>
    </row>
    <row r="62" spans="1:18">
      <c r="A62" s="596" t="s">
        <v>737</v>
      </c>
      <c r="B62" s="597">
        <v>0</v>
      </c>
      <c r="C62" s="597">
        <v>0</v>
      </c>
      <c r="D62" s="597">
        <v>0</v>
      </c>
      <c r="E62" s="597">
        <v>0</v>
      </c>
      <c r="F62" s="597">
        <v>0</v>
      </c>
      <c r="G62" s="597">
        <v>0</v>
      </c>
      <c r="H62" s="597">
        <v>0</v>
      </c>
      <c r="I62" s="597">
        <v>0</v>
      </c>
      <c r="J62" s="597">
        <v>0</v>
      </c>
      <c r="K62" s="597">
        <v>0</v>
      </c>
      <c r="L62" s="597">
        <v>0</v>
      </c>
      <c r="M62" s="597">
        <v>0</v>
      </c>
      <c r="N62" s="597">
        <v>0</v>
      </c>
      <c r="O62" s="596" t="s">
        <v>737</v>
      </c>
      <c r="P62" s="597">
        <v>4</v>
      </c>
      <c r="Q62" s="596" t="s">
        <v>737</v>
      </c>
      <c r="R62" s="512">
        <v>0</v>
      </c>
    </row>
    <row r="63" spans="1:18">
      <c r="A63" s="596" t="s">
        <v>737</v>
      </c>
      <c r="B63" s="597">
        <v>0</v>
      </c>
      <c r="C63" s="597">
        <v>0</v>
      </c>
      <c r="D63" s="597">
        <v>0</v>
      </c>
      <c r="E63" s="597">
        <v>0</v>
      </c>
      <c r="F63" s="597">
        <v>0</v>
      </c>
      <c r="G63" s="597">
        <v>0</v>
      </c>
      <c r="H63" s="597">
        <v>0</v>
      </c>
      <c r="I63" s="597">
        <v>0</v>
      </c>
      <c r="J63" s="597">
        <v>0</v>
      </c>
      <c r="K63" s="597">
        <v>0</v>
      </c>
      <c r="L63" s="597">
        <v>0</v>
      </c>
      <c r="M63" s="597">
        <v>0</v>
      </c>
      <c r="N63" s="597">
        <v>0</v>
      </c>
      <c r="O63" s="596" t="s">
        <v>737</v>
      </c>
      <c r="P63" s="597">
        <v>5</v>
      </c>
      <c r="Q63" s="596" t="s">
        <v>737</v>
      </c>
      <c r="R63" s="512">
        <v>0</v>
      </c>
    </row>
    <row r="64" spans="1:18">
      <c r="A64" s="596" t="s">
        <v>737</v>
      </c>
      <c r="B64" s="597">
        <v>0</v>
      </c>
      <c r="C64" s="597">
        <v>0</v>
      </c>
      <c r="D64" s="597">
        <v>0</v>
      </c>
      <c r="E64" s="597">
        <v>0</v>
      </c>
      <c r="F64" s="597">
        <v>0</v>
      </c>
      <c r="G64" s="597">
        <v>0</v>
      </c>
      <c r="H64" s="597">
        <v>0</v>
      </c>
      <c r="I64" s="597">
        <v>0</v>
      </c>
      <c r="J64" s="597">
        <v>0</v>
      </c>
      <c r="K64" s="597">
        <v>0</v>
      </c>
      <c r="L64" s="597">
        <v>0</v>
      </c>
      <c r="M64" s="597">
        <v>0</v>
      </c>
      <c r="N64" s="597">
        <v>0</v>
      </c>
      <c r="O64" s="596" t="s">
        <v>737</v>
      </c>
      <c r="P64" s="597">
        <v>0</v>
      </c>
      <c r="Q64" s="596" t="s">
        <v>737</v>
      </c>
      <c r="R64" s="512">
        <v>0</v>
      </c>
    </row>
    <row r="65" spans="1:18">
      <c r="A65" s="596" t="s">
        <v>737</v>
      </c>
      <c r="B65" s="597">
        <v>0</v>
      </c>
      <c r="C65" s="597">
        <v>0</v>
      </c>
      <c r="D65" s="597">
        <v>0</v>
      </c>
      <c r="E65" s="597">
        <v>0</v>
      </c>
      <c r="F65" s="597">
        <v>0</v>
      </c>
      <c r="G65" s="597">
        <v>0</v>
      </c>
      <c r="H65" s="597">
        <v>0</v>
      </c>
      <c r="I65" s="597">
        <v>0</v>
      </c>
      <c r="J65" s="597">
        <v>0</v>
      </c>
      <c r="K65" s="597">
        <v>0</v>
      </c>
      <c r="L65" s="597">
        <v>0</v>
      </c>
      <c r="M65" s="597">
        <v>0</v>
      </c>
      <c r="N65" s="597">
        <v>0</v>
      </c>
      <c r="O65" s="596" t="s">
        <v>737</v>
      </c>
      <c r="P65" s="597">
        <v>0</v>
      </c>
      <c r="Q65" s="596" t="s">
        <v>737</v>
      </c>
      <c r="R65" s="512">
        <v>0</v>
      </c>
    </row>
    <row r="66" spans="1:18">
      <c r="A66" s="596" t="s">
        <v>737</v>
      </c>
      <c r="B66" s="597">
        <v>0</v>
      </c>
      <c r="C66" s="597">
        <v>0</v>
      </c>
      <c r="D66" s="597">
        <v>0</v>
      </c>
      <c r="E66" s="597">
        <v>0</v>
      </c>
      <c r="F66" s="597">
        <v>0</v>
      </c>
      <c r="G66" s="597">
        <v>0</v>
      </c>
      <c r="H66" s="597">
        <v>0</v>
      </c>
      <c r="I66" s="597">
        <v>0</v>
      </c>
      <c r="J66" s="597">
        <v>0</v>
      </c>
      <c r="K66" s="597">
        <v>0</v>
      </c>
      <c r="L66" s="597">
        <v>0</v>
      </c>
      <c r="M66" s="597">
        <v>0</v>
      </c>
      <c r="N66" s="597">
        <v>0</v>
      </c>
      <c r="O66" s="596" t="s">
        <v>737</v>
      </c>
      <c r="P66" s="597">
        <v>0</v>
      </c>
      <c r="Q66" s="596" t="s">
        <v>737</v>
      </c>
      <c r="R66" s="512">
        <v>0</v>
      </c>
    </row>
    <row r="67" spans="1:18">
      <c r="A67" s="2"/>
      <c r="B67" s="2"/>
      <c r="C67" s="2"/>
      <c r="D67" s="2"/>
      <c r="E67" s="2"/>
      <c r="F67" s="2"/>
      <c r="G67" s="2"/>
      <c r="H67" s="2"/>
      <c r="I67" s="2"/>
      <c r="J67" s="2"/>
      <c r="K67" s="2"/>
      <c r="L67" s="2"/>
      <c r="M67" s="2"/>
      <c r="N67" s="2"/>
      <c r="O67" s="2"/>
      <c r="P67" s="2"/>
      <c r="Q67" s="2"/>
      <c r="R67" s="513"/>
    </row>
    <row r="68" spans="1:18">
      <c r="A68" s="2"/>
      <c r="B68" s="2"/>
      <c r="C68" s="2"/>
      <c r="D68" s="2"/>
      <c r="E68" s="2"/>
      <c r="F68" s="2"/>
      <c r="G68" s="2"/>
      <c r="H68" s="2"/>
      <c r="I68" s="2"/>
      <c r="J68" s="2"/>
      <c r="K68" s="2"/>
      <c r="L68" s="2"/>
      <c r="M68" s="2"/>
      <c r="N68" s="2"/>
      <c r="O68" s="2"/>
      <c r="P68" s="2"/>
      <c r="Q68" s="2"/>
      <c r="R68" s="513"/>
    </row>
    <row r="69" spans="1:18">
      <c r="A69" s="606" t="s">
        <v>32</v>
      </c>
      <c r="B69" s="2" t="s">
        <v>2</v>
      </c>
      <c r="C69" s="2" t="s">
        <v>3</v>
      </c>
      <c r="D69" s="2" t="s">
        <v>4</v>
      </c>
      <c r="E69" s="2" t="s">
        <v>5</v>
      </c>
      <c r="F69" s="2" t="s">
        <v>6</v>
      </c>
      <c r="G69" s="2" t="s">
        <v>7</v>
      </c>
      <c r="H69" s="2" t="s">
        <v>8</v>
      </c>
      <c r="I69" s="2" t="s">
        <v>9</v>
      </c>
      <c r="J69" s="2" t="s">
        <v>740</v>
      </c>
      <c r="K69" s="2" t="s">
        <v>861</v>
      </c>
      <c r="L69" s="2" t="s">
        <v>863</v>
      </c>
      <c r="M69" s="2" t="s">
        <v>862</v>
      </c>
      <c r="N69" s="2" t="s">
        <v>10</v>
      </c>
      <c r="O69" s="2" t="s">
        <v>11</v>
      </c>
      <c r="P69" s="2" t="s">
        <v>12</v>
      </c>
      <c r="Q69" s="2"/>
      <c r="R69" s="511" t="s">
        <v>146</v>
      </c>
    </row>
    <row r="70" spans="1:18" hidden="1">
      <c r="A70" s="2" t="s">
        <v>13</v>
      </c>
      <c r="B70" s="2"/>
      <c r="C70" s="2"/>
      <c r="D70" s="2"/>
      <c r="E70" s="2"/>
      <c r="F70" s="2"/>
      <c r="G70" s="2"/>
      <c r="H70" s="2"/>
      <c r="I70" s="2"/>
      <c r="J70" s="2"/>
      <c r="K70" s="2"/>
      <c r="L70" s="2"/>
      <c r="M70" s="2"/>
      <c r="N70" s="2"/>
      <c r="O70" s="2"/>
      <c r="P70" s="2">
        <v>1</v>
      </c>
      <c r="Q70" s="2" t="s">
        <v>13</v>
      </c>
      <c r="R70" s="513">
        <v>0</v>
      </c>
    </row>
    <row r="71" spans="1:18">
      <c r="A71" s="2" t="s">
        <v>33</v>
      </c>
      <c r="B71" s="2"/>
      <c r="C71" s="2"/>
      <c r="D71" s="2"/>
      <c r="E71" s="2"/>
      <c r="F71" s="2">
        <v>0.03</v>
      </c>
      <c r="G71" s="2">
        <v>0.22</v>
      </c>
      <c r="H71" s="2"/>
      <c r="I71" s="2"/>
      <c r="J71" s="2"/>
      <c r="K71" s="2"/>
      <c r="L71" s="2"/>
      <c r="M71" s="2"/>
      <c r="N71" s="2">
        <v>1</v>
      </c>
      <c r="O71" s="2" t="s">
        <v>19</v>
      </c>
      <c r="P71" s="2">
        <v>2000</v>
      </c>
      <c r="Q71" s="2" t="s">
        <v>34</v>
      </c>
      <c r="R71" s="512">
        <v>0</v>
      </c>
    </row>
    <row r="72" spans="1:18">
      <c r="A72" s="2" t="s">
        <v>598</v>
      </c>
      <c r="B72" s="2">
        <v>0.55000000000000004</v>
      </c>
      <c r="C72" s="2">
        <v>0.01</v>
      </c>
      <c r="D72" s="2">
        <v>3.5999999999999999E-3</v>
      </c>
      <c r="E72" s="2"/>
      <c r="F72" s="2"/>
      <c r="G72" s="2">
        <v>29</v>
      </c>
      <c r="H72" s="2"/>
      <c r="I72" s="2"/>
      <c r="J72" s="2"/>
      <c r="K72" s="2"/>
      <c r="L72" s="2"/>
      <c r="M72" s="2"/>
      <c r="N72" s="2">
        <v>1</v>
      </c>
      <c r="O72" s="2" t="s">
        <v>36</v>
      </c>
      <c r="P72" s="2">
        <v>1</v>
      </c>
      <c r="Q72" s="2" t="s">
        <v>34</v>
      </c>
      <c r="R72" s="512">
        <v>0</v>
      </c>
    </row>
    <row r="73" spans="1:18">
      <c r="A73" s="2" t="s">
        <v>35</v>
      </c>
      <c r="B73" s="2"/>
      <c r="C73" s="2"/>
      <c r="D73" s="2"/>
      <c r="E73" s="2"/>
      <c r="F73" s="2">
        <v>11</v>
      </c>
      <c r="G73" s="2">
        <v>42</v>
      </c>
      <c r="H73" s="2"/>
      <c r="I73" s="2"/>
      <c r="J73" s="2"/>
      <c r="K73" s="2"/>
      <c r="L73" s="2"/>
      <c r="M73" s="2"/>
      <c r="N73" s="2">
        <v>1</v>
      </c>
      <c r="O73" s="2" t="s">
        <v>36</v>
      </c>
      <c r="P73" s="2">
        <v>1</v>
      </c>
      <c r="Q73" s="2" t="s">
        <v>34</v>
      </c>
      <c r="R73" s="512">
        <v>0</v>
      </c>
    </row>
    <row r="74" spans="1:18">
      <c r="A74" s="2" t="s">
        <v>37</v>
      </c>
      <c r="B74" s="2"/>
      <c r="C74" s="2"/>
      <c r="D74" s="2"/>
      <c r="E74" s="2"/>
      <c r="F74" s="2"/>
      <c r="G74" s="2">
        <v>80</v>
      </c>
      <c r="H74" s="2"/>
      <c r="I74" s="2"/>
      <c r="J74" s="2"/>
      <c r="K74" s="2"/>
      <c r="L74" s="2"/>
      <c r="M74" s="2"/>
      <c r="N74" s="2">
        <v>1</v>
      </c>
      <c r="O74" s="2" t="s">
        <v>36</v>
      </c>
      <c r="P74" s="2">
        <v>1</v>
      </c>
      <c r="Q74" s="2" t="s">
        <v>34</v>
      </c>
      <c r="R74" s="512">
        <v>0</v>
      </c>
    </row>
    <row r="75" spans="1:18">
      <c r="A75" s="596" t="s">
        <v>737</v>
      </c>
      <c r="B75" s="597">
        <v>0</v>
      </c>
      <c r="C75" s="597">
        <v>0</v>
      </c>
      <c r="D75" s="597">
        <v>0</v>
      </c>
      <c r="E75" s="597">
        <v>0</v>
      </c>
      <c r="F75" s="597">
        <v>0</v>
      </c>
      <c r="G75" s="597">
        <v>0</v>
      </c>
      <c r="H75" s="597">
        <v>0</v>
      </c>
      <c r="I75" s="597">
        <v>0</v>
      </c>
      <c r="J75" s="597">
        <v>0</v>
      </c>
      <c r="K75" s="597">
        <v>0</v>
      </c>
      <c r="L75" s="597">
        <v>0</v>
      </c>
      <c r="M75" s="597">
        <v>0</v>
      </c>
      <c r="N75" s="597">
        <v>0</v>
      </c>
      <c r="O75" s="596" t="s">
        <v>737</v>
      </c>
      <c r="P75" s="597">
        <v>0</v>
      </c>
      <c r="Q75" s="596" t="s">
        <v>737</v>
      </c>
      <c r="R75" s="512">
        <v>0</v>
      </c>
    </row>
    <row r="76" spans="1:18">
      <c r="A76" s="596" t="s">
        <v>737</v>
      </c>
      <c r="B76" s="597">
        <v>0</v>
      </c>
      <c r="C76" s="597">
        <v>0</v>
      </c>
      <c r="D76" s="597">
        <v>0</v>
      </c>
      <c r="E76" s="597">
        <v>0</v>
      </c>
      <c r="F76" s="597">
        <v>0</v>
      </c>
      <c r="G76" s="597">
        <v>0</v>
      </c>
      <c r="H76" s="597">
        <v>0</v>
      </c>
      <c r="I76" s="597">
        <v>0</v>
      </c>
      <c r="J76" s="597">
        <v>0</v>
      </c>
      <c r="K76" s="597">
        <v>0</v>
      </c>
      <c r="L76" s="597">
        <v>0</v>
      </c>
      <c r="M76" s="597">
        <v>0</v>
      </c>
      <c r="N76" s="597">
        <v>0</v>
      </c>
      <c r="O76" s="596" t="s">
        <v>737</v>
      </c>
      <c r="P76" s="597">
        <v>0</v>
      </c>
      <c r="Q76" s="596" t="s">
        <v>737</v>
      </c>
      <c r="R76" s="512">
        <v>0</v>
      </c>
    </row>
    <row r="77" spans="1:18">
      <c r="A77" s="596" t="s">
        <v>737</v>
      </c>
      <c r="B77" s="597">
        <v>0</v>
      </c>
      <c r="C77" s="597">
        <v>0</v>
      </c>
      <c r="D77" s="597">
        <v>0</v>
      </c>
      <c r="E77" s="597">
        <v>0</v>
      </c>
      <c r="F77" s="597">
        <v>0</v>
      </c>
      <c r="G77" s="597">
        <v>0</v>
      </c>
      <c r="H77" s="597">
        <v>0</v>
      </c>
      <c r="I77" s="597">
        <v>0</v>
      </c>
      <c r="J77" s="597">
        <v>0</v>
      </c>
      <c r="K77" s="597">
        <v>0</v>
      </c>
      <c r="L77" s="597">
        <v>0</v>
      </c>
      <c r="M77" s="597">
        <v>0</v>
      </c>
      <c r="N77" s="597">
        <v>0</v>
      </c>
      <c r="O77" s="596" t="s">
        <v>737</v>
      </c>
      <c r="P77" s="597">
        <v>0</v>
      </c>
      <c r="Q77" s="596" t="s">
        <v>737</v>
      </c>
      <c r="R77" s="512">
        <v>0</v>
      </c>
    </row>
    <row r="78" spans="1:18">
      <c r="A78" s="596" t="s">
        <v>737</v>
      </c>
      <c r="B78" s="597">
        <v>0</v>
      </c>
      <c r="C78" s="597">
        <v>0</v>
      </c>
      <c r="D78" s="597">
        <v>0</v>
      </c>
      <c r="E78" s="597">
        <v>0</v>
      </c>
      <c r="F78" s="597">
        <v>0</v>
      </c>
      <c r="G78" s="597">
        <v>0</v>
      </c>
      <c r="H78" s="597">
        <v>0</v>
      </c>
      <c r="I78" s="597">
        <v>0</v>
      </c>
      <c r="J78" s="597">
        <v>0</v>
      </c>
      <c r="K78" s="597">
        <v>0</v>
      </c>
      <c r="L78" s="597">
        <v>0</v>
      </c>
      <c r="M78" s="597">
        <v>0</v>
      </c>
      <c r="N78" s="597">
        <v>0</v>
      </c>
      <c r="O78" s="596" t="s">
        <v>737</v>
      </c>
      <c r="P78" s="597">
        <v>0</v>
      </c>
      <c r="Q78" s="596" t="s">
        <v>737</v>
      </c>
      <c r="R78" s="512">
        <v>0</v>
      </c>
    </row>
    <row r="79" spans="1:18">
      <c r="A79" s="2"/>
      <c r="B79" s="2"/>
      <c r="C79" s="2"/>
      <c r="D79" s="2"/>
      <c r="E79" s="2"/>
      <c r="F79" s="2"/>
      <c r="G79" s="2"/>
      <c r="H79" s="2"/>
      <c r="I79" s="2"/>
      <c r="J79" s="2"/>
      <c r="K79" s="2"/>
      <c r="L79" s="2"/>
      <c r="M79" s="2"/>
      <c r="N79" s="2"/>
      <c r="O79" s="2"/>
      <c r="P79" s="2"/>
      <c r="Q79" s="2"/>
      <c r="R79" s="513"/>
    </row>
    <row r="80" spans="1:18">
      <c r="A80" s="2"/>
      <c r="B80" s="2"/>
      <c r="C80" s="2"/>
      <c r="D80" s="2"/>
      <c r="E80" s="2"/>
      <c r="F80" s="2"/>
      <c r="G80" s="2"/>
      <c r="H80" s="2"/>
      <c r="I80" s="2"/>
      <c r="J80" s="2"/>
      <c r="K80" s="2"/>
      <c r="L80" s="2"/>
      <c r="M80" s="2"/>
      <c r="N80" s="2"/>
      <c r="O80" s="2"/>
      <c r="P80" s="2"/>
      <c r="Q80" s="2"/>
      <c r="R80" s="513"/>
    </row>
    <row r="81" spans="1:18">
      <c r="A81" s="606" t="s">
        <v>38</v>
      </c>
      <c r="B81" s="2"/>
      <c r="C81" s="2"/>
      <c r="D81" s="2"/>
      <c r="E81" s="2"/>
      <c r="F81" s="2"/>
      <c r="G81" s="2"/>
      <c r="H81" s="2"/>
      <c r="I81" s="2"/>
      <c r="J81" s="2"/>
      <c r="K81" s="2"/>
      <c r="L81" s="2"/>
      <c r="M81" s="2"/>
      <c r="N81" s="2"/>
      <c r="O81" s="2"/>
      <c r="P81" s="2"/>
      <c r="Q81" s="2"/>
      <c r="R81" s="511" t="s">
        <v>146</v>
      </c>
    </row>
    <row r="82" spans="1:18" hidden="1">
      <c r="A82" s="2" t="s">
        <v>13</v>
      </c>
      <c r="B82" s="2"/>
      <c r="C82" s="2"/>
      <c r="D82" s="2"/>
      <c r="E82" s="2"/>
      <c r="F82" s="2"/>
      <c r="G82" s="2"/>
      <c r="H82" s="2"/>
      <c r="I82" s="2"/>
      <c r="J82" s="2"/>
      <c r="K82" s="2"/>
      <c r="L82" s="2"/>
      <c r="M82" s="2"/>
      <c r="N82" s="2"/>
      <c r="O82" s="2"/>
      <c r="P82" s="2">
        <v>1</v>
      </c>
      <c r="Q82" s="2" t="s">
        <v>13</v>
      </c>
      <c r="R82" s="513">
        <v>0</v>
      </c>
    </row>
    <row r="83" spans="1:18">
      <c r="A83" s="2" t="s">
        <v>39</v>
      </c>
      <c r="B83" s="2"/>
      <c r="C83" s="2"/>
      <c r="D83" s="2"/>
      <c r="E83" s="2"/>
      <c r="F83" s="2"/>
      <c r="G83" s="2"/>
      <c r="H83" s="2"/>
      <c r="I83" s="2"/>
      <c r="J83" s="2"/>
      <c r="K83" s="2"/>
      <c r="L83" s="2"/>
      <c r="M83" s="2"/>
      <c r="N83" s="2">
        <v>1</v>
      </c>
      <c r="O83" s="2" t="s">
        <v>40</v>
      </c>
      <c r="P83" s="2">
        <v>128</v>
      </c>
      <c r="Q83" s="2" t="s">
        <v>24</v>
      </c>
      <c r="R83" s="512">
        <v>0</v>
      </c>
    </row>
    <row r="84" spans="1:18">
      <c r="A84" s="2" t="s">
        <v>45</v>
      </c>
      <c r="B84" s="2"/>
      <c r="C84" s="2"/>
      <c r="D84" s="2"/>
      <c r="E84" s="2"/>
      <c r="F84" s="2"/>
      <c r="G84" s="2"/>
      <c r="H84" s="2"/>
      <c r="I84" s="2"/>
      <c r="J84" s="2"/>
      <c r="K84" s="2"/>
      <c r="L84" s="2"/>
      <c r="M84" s="2"/>
      <c r="N84" s="2">
        <v>1</v>
      </c>
      <c r="O84" s="2" t="s">
        <v>40</v>
      </c>
      <c r="P84" s="2">
        <v>128</v>
      </c>
      <c r="Q84" s="2" t="s">
        <v>24</v>
      </c>
      <c r="R84" s="512">
        <v>0</v>
      </c>
    </row>
    <row r="85" spans="1:18">
      <c r="A85" s="2" t="s">
        <v>41</v>
      </c>
      <c r="B85" s="2"/>
      <c r="C85" s="2"/>
      <c r="D85" s="2"/>
      <c r="E85" s="2"/>
      <c r="F85" s="2"/>
      <c r="G85" s="2"/>
      <c r="H85" s="2"/>
      <c r="I85" s="2"/>
      <c r="J85" s="2"/>
      <c r="K85" s="2"/>
      <c r="L85" s="2"/>
      <c r="M85" s="2"/>
      <c r="N85" s="2">
        <v>1</v>
      </c>
      <c r="O85" s="2" t="s">
        <v>42</v>
      </c>
      <c r="P85" s="2">
        <v>4</v>
      </c>
      <c r="Q85" s="2" t="s">
        <v>24</v>
      </c>
      <c r="R85" s="512">
        <v>0</v>
      </c>
    </row>
    <row r="86" spans="1:18">
      <c r="A86" s="2" t="s">
        <v>43</v>
      </c>
      <c r="B86" s="2"/>
      <c r="C86" s="2"/>
      <c r="D86" s="2"/>
      <c r="E86" s="2"/>
      <c r="F86" s="2"/>
      <c r="G86" s="2"/>
      <c r="H86" s="2"/>
      <c r="I86" s="2"/>
      <c r="J86" s="2"/>
      <c r="K86" s="2"/>
      <c r="L86" s="2"/>
      <c r="M86" s="2"/>
      <c r="N86" s="2">
        <v>1</v>
      </c>
      <c r="O86" s="2" t="s">
        <v>42</v>
      </c>
      <c r="P86" s="2">
        <v>4</v>
      </c>
      <c r="Q86" s="2" t="s">
        <v>24</v>
      </c>
      <c r="R86" s="512">
        <v>0</v>
      </c>
    </row>
    <row r="87" spans="1:18">
      <c r="A87" s="2" t="s">
        <v>44</v>
      </c>
      <c r="B87" s="2"/>
      <c r="C87" s="2"/>
      <c r="D87" s="2"/>
      <c r="E87" s="2"/>
      <c r="F87" s="2"/>
      <c r="G87" s="2"/>
      <c r="H87" s="2"/>
      <c r="I87" s="2"/>
      <c r="J87" s="2"/>
      <c r="K87" s="2"/>
      <c r="L87" s="2"/>
      <c r="M87" s="2"/>
      <c r="N87" s="2">
        <v>1</v>
      </c>
      <c r="O87" s="2" t="s">
        <v>42</v>
      </c>
      <c r="P87" s="2">
        <v>4</v>
      </c>
      <c r="Q87" s="2" t="s">
        <v>24</v>
      </c>
      <c r="R87" s="512"/>
    </row>
    <row r="88" spans="1:18">
      <c r="A88" s="596" t="s">
        <v>737</v>
      </c>
      <c r="B88" s="2"/>
      <c r="C88" s="2"/>
      <c r="D88" s="2"/>
      <c r="E88" s="2"/>
      <c r="F88" s="2"/>
      <c r="G88" s="2"/>
      <c r="H88" s="2"/>
      <c r="I88" s="2"/>
      <c r="J88" s="2"/>
      <c r="K88" s="2"/>
      <c r="L88" s="2"/>
      <c r="M88" s="2"/>
      <c r="N88" s="597">
        <v>0</v>
      </c>
      <c r="O88" s="596" t="s">
        <v>737</v>
      </c>
      <c r="P88" s="597">
        <v>0</v>
      </c>
      <c r="Q88" s="596" t="s">
        <v>737</v>
      </c>
      <c r="R88" s="512">
        <v>0</v>
      </c>
    </row>
    <row r="89" spans="1:18">
      <c r="A89" s="596" t="s">
        <v>737</v>
      </c>
      <c r="B89" s="2"/>
      <c r="C89" s="2"/>
      <c r="D89" s="2"/>
      <c r="E89" s="2"/>
      <c r="F89" s="2"/>
      <c r="G89" s="2"/>
      <c r="H89" s="2"/>
      <c r="I89" s="2"/>
      <c r="J89" s="2"/>
      <c r="K89" s="2"/>
      <c r="L89" s="2"/>
      <c r="M89" s="2"/>
      <c r="N89" s="597">
        <v>0</v>
      </c>
      <c r="O89" s="596" t="s">
        <v>737</v>
      </c>
      <c r="P89" s="597">
        <v>0</v>
      </c>
      <c r="Q89" s="596" t="s">
        <v>737</v>
      </c>
      <c r="R89" s="512">
        <v>0</v>
      </c>
    </row>
    <row r="90" spans="1:18">
      <c r="A90" s="596" t="s">
        <v>737</v>
      </c>
      <c r="B90" s="2"/>
      <c r="C90" s="2"/>
      <c r="D90" s="2"/>
      <c r="E90" s="2"/>
      <c r="F90" s="2"/>
      <c r="G90" s="2"/>
      <c r="H90" s="2"/>
      <c r="I90" s="2"/>
      <c r="J90" s="2"/>
      <c r="K90" s="2"/>
      <c r="L90" s="2"/>
      <c r="M90" s="2"/>
      <c r="N90" s="597">
        <v>0</v>
      </c>
      <c r="O90" s="596" t="s">
        <v>737</v>
      </c>
      <c r="P90" s="597">
        <v>0</v>
      </c>
      <c r="Q90" s="596" t="s">
        <v>737</v>
      </c>
      <c r="R90" s="512">
        <v>0</v>
      </c>
    </row>
    <row r="91" spans="1:18">
      <c r="A91" s="596" t="s">
        <v>737</v>
      </c>
      <c r="B91" s="2"/>
      <c r="C91" s="2"/>
      <c r="D91" s="2"/>
      <c r="E91" s="2"/>
      <c r="F91" s="2"/>
      <c r="G91" s="2"/>
      <c r="H91" s="2"/>
      <c r="I91" s="2"/>
      <c r="J91" s="2"/>
      <c r="K91" s="2"/>
      <c r="L91" s="2"/>
      <c r="M91" s="2"/>
      <c r="N91" s="597">
        <v>0</v>
      </c>
      <c r="O91" s="596" t="s">
        <v>737</v>
      </c>
      <c r="P91" s="597">
        <v>0</v>
      </c>
      <c r="Q91" s="596" t="s">
        <v>737</v>
      </c>
      <c r="R91" s="512">
        <v>0</v>
      </c>
    </row>
  </sheetData>
  <sheetProtection sheet="1" objects="1" scenarios="1"/>
  <sortState xmlns:xlrd2="http://schemas.microsoft.com/office/spreadsheetml/2017/richdata2" ref="A5:P22">
    <sortCondition ref="A5:A22"/>
  </sortState>
  <mergeCells count="5">
    <mergeCell ref="U28:Y29"/>
    <mergeCell ref="U31:Y31"/>
    <mergeCell ref="U43:Y44"/>
    <mergeCell ref="B2:J2"/>
    <mergeCell ref="T7:AA7"/>
  </mergeCells>
  <hyperlinks>
    <hyperlink ref="U25" r:id="rId1" xr:uid="{90556FCE-CA66-41E5-BA74-278846D275AF}"/>
    <hyperlink ref="U24" r:id="rId2" xr:uid="{9E760F4B-40F0-4C9D-998D-38388A6A7BAF}"/>
  </hyperlinks>
  <pageMargins left="0.7" right="0.7" top="0.75" bottom="0.75" header="0.3" footer="0.3"/>
  <pageSetup scale="94"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7E4404C3-DAA4-406D-B544-7F411DA5F5E8}">
          <x14:formula1>
            <xm:f>'Manure and Nutrient Credits'!$A$37:$A$41</xm:f>
          </x14:formula1>
          <xm:sqref>Y39 Y34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I86"/>
  <sheetViews>
    <sheetView zoomScale="80" zoomScaleNormal="80" zoomScalePageLayoutView="70" workbookViewId="0">
      <pane ySplit="1" topLeftCell="A2" activePane="bottomLeft" state="frozen"/>
      <selection pane="bottomLeft" activeCell="C36" sqref="C36"/>
    </sheetView>
  </sheetViews>
  <sheetFormatPr defaultColWidth="9.109375" defaultRowHeight="14.4"/>
  <cols>
    <col min="1" max="1" width="42.44140625" style="6" bestFit="1" customWidth="1"/>
    <col min="2" max="2" width="18.44140625" style="6" hidden="1" customWidth="1"/>
    <col min="3" max="3" width="17" style="6" customWidth="1"/>
    <col min="4" max="4" width="12" style="6" hidden="1" customWidth="1"/>
    <col min="5" max="5" width="13.6640625" style="6" bestFit="1" customWidth="1"/>
    <col min="6" max="7" width="13.6640625" style="6" customWidth="1"/>
    <col min="8" max="8" width="9.109375" style="6"/>
    <col min="9" max="11" width="10.33203125" style="6" customWidth="1"/>
    <col min="12" max="12" width="9.109375" style="6"/>
    <col min="13" max="13" width="42.44140625" style="6" bestFit="1" customWidth="1"/>
    <col min="14" max="14" width="15.5546875" style="6" hidden="1" customWidth="1"/>
    <col min="15" max="15" width="17" style="6" customWidth="1"/>
    <col min="16" max="16" width="13.6640625" style="6" hidden="1" customWidth="1"/>
    <col min="17" max="17" width="13.6640625" style="6" bestFit="1" customWidth="1"/>
    <col min="18" max="18" width="6.109375" style="6" bestFit="1" customWidth="1"/>
    <col min="19" max="19" width="14.5546875" style="6" customWidth="1"/>
    <col min="20" max="20" width="8.88671875" style="6"/>
    <col min="21" max="21" width="10.33203125" style="6" bestFit="1" customWidth="1"/>
    <col min="22" max="24" width="9.109375" style="6" customWidth="1"/>
    <col min="25" max="25" width="42.44140625" style="6" bestFit="1" customWidth="1"/>
    <col min="26" max="26" width="15.5546875" style="6" hidden="1" customWidth="1"/>
    <col min="27" max="27" width="17" style="6" customWidth="1"/>
    <col min="28" max="28" width="13.6640625" style="6" hidden="1" customWidth="1"/>
    <col min="29" max="29" width="13.6640625" style="6" bestFit="1" customWidth="1"/>
    <col min="30" max="30" width="6.109375" style="6" bestFit="1" customWidth="1"/>
    <col min="31" max="31" width="14.6640625" style="6" bestFit="1" customWidth="1"/>
    <col min="32" max="32" width="8.88671875" style="6"/>
    <col min="33" max="33" width="10.33203125" style="6" bestFit="1" customWidth="1"/>
    <col min="34" max="35" width="9" style="6" bestFit="1" customWidth="1"/>
    <col min="36" max="36" width="43.44140625" style="6" bestFit="1" customWidth="1"/>
    <col min="37" max="37" width="13" style="6" customWidth="1"/>
    <col min="38" max="38" width="7.33203125" style="6" customWidth="1"/>
    <col min="39" max="39" width="12.33203125" style="6" customWidth="1"/>
    <col min="40" max="40" width="9.109375" style="6"/>
    <col min="41" max="43" width="9.109375" style="6" customWidth="1"/>
    <col min="44" max="16384" width="9.109375" style="6"/>
  </cols>
  <sheetData>
    <row r="1" spans="1:35" s="59" customFormat="1" ht="33.6">
      <c r="A1" s="987" t="s">
        <v>76</v>
      </c>
      <c r="B1" s="988"/>
      <c r="C1" s="988"/>
      <c r="D1" s="988"/>
      <c r="E1" s="988"/>
      <c r="F1" s="988"/>
      <c r="G1" s="988"/>
      <c r="H1" s="988"/>
      <c r="I1" s="988"/>
      <c r="J1" s="988"/>
      <c r="K1" s="989"/>
      <c r="L1" s="137"/>
      <c r="M1" s="987" t="s">
        <v>130</v>
      </c>
      <c r="N1" s="988"/>
      <c r="O1" s="988"/>
      <c r="P1" s="988"/>
      <c r="Q1" s="988"/>
      <c r="R1" s="988"/>
      <c r="S1" s="988"/>
      <c r="T1" s="988"/>
      <c r="U1" s="988"/>
      <c r="V1" s="988"/>
      <c r="W1" s="989"/>
      <c r="X1" s="136"/>
      <c r="Y1" s="987" t="s">
        <v>131</v>
      </c>
      <c r="Z1" s="988"/>
      <c r="AA1" s="988"/>
      <c r="AB1" s="988"/>
      <c r="AC1" s="988"/>
      <c r="AD1" s="988"/>
      <c r="AE1" s="988"/>
      <c r="AF1" s="988"/>
      <c r="AG1" s="988"/>
      <c r="AH1" s="988"/>
      <c r="AI1" s="989"/>
    </row>
    <row r="2" spans="1:35" ht="16.2" thickBot="1">
      <c r="A2" s="36"/>
      <c r="B2" s="37"/>
      <c r="C2" s="38"/>
      <c r="D2" s="39"/>
      <c r="E2" s="39"/>
      <c r="F2" s="37"/>
      <c r="G2" s="39"/>
      <c r="H2" s="2"/>
      <c r="I2" s="2"/>
      <c r="J2" s="2"/>
      <c r="K2" s="58"/>
      <c r="L2" s="2"/>
      <c r="M2" s="36"/>
      <c r="N2" s="37"/>
      <c r="O2" s="38"/>
      <c r="P2" s="39"/>
      <c r="Q2" s="39"/>
      <c r="R2" s="37"/>
      <c r="S2" s="39"/>
      <c r="T2" s="2"/>
      <c r="U2" s="2"/>
      <c r="V2" s="2"/>
      <c r="W2" s="58"/>
      <c r="X2"/>
      <c r="Y2" s="36"/>
      <c r="Z2" s="37"/>
      <c r="AA2" s="38"/>
      <c r="AB2" s="39"/>
      <c r="AC2" s="39"/>
      <c r="AD2" s="37"/>
      <c r="AE2" s="39"/>
      <c r="AF2"/>
      <c r="AG2"/>
      <c r="AH2"/>
      <c r="AI2" s="7"/>
    </row>
    <row r="3" spans="1:35" s="60" customFormat="1" ht="16.5" customHeight="1" thickBot="1">
      <c r="A3" s="981" t="s">
        <v>156</v>
      </c>
      <c r="B3" s="982"/>
      <c r="C3" s="982"/>
      <c r="D3" s="982"/>
      <c r="E3" s="982"/>
      <c r="F3" s="982"/>
      <c r="G3" s="982"/>
      <c r="H3" s="982"/>
      <c r="I3" s="982"/>
      <c r="J3" s="982"/>
      <c r="K3" s="983"/>
      <c r="L3" s="2"/>
      <c r="M3" s="981" t="s">
        <v>156</v>
      </c>
      <c r="N3" s="982"/>
      <c r="O3" s="982"/>
      <c r="P3" s="982"/>
      <c r="Q3" s="982"/>
      <c r="R3" s="982"/>
      <c r="S3" s="982"/>
      <c r="T3" s="982"/>
      <c r="U3" s="982"/>
      <c r="V3" s="982"/>
      <c r="W3" s="983"/>
      <c r="X3" s="106"/>
      <c r="Y3" s="981" t="s">
        <v>156</v>
      </c>
      <c r="Z3" s="982"/>
      <c r="AA3" s="982"/>
      <c r="AB3" s="982"/>
      <c r="AC3" s="982"/>
      <c r="AD3" s="982"/>
      <c r="AE3" s="982"/>
      <c r="AF3" s="982"/>
      <c r="AG3" s="982"/>
      <c r="AH3" s="982"/>
      <c r="AI3" s="983"/>
    </row>
    <row r="4" spans="1:35" s="60" customFormat="1" ht="31.2">
      <c r="A4" s="36" t="s">
        <v>140</v>
      </c>
      <c r="B4" s="37" t="s">
        <v>118</v>
      </c>
      <c r="C4" s="38" t="s">
        <v>119</v>
      </c>
      <c r="D4" s="39" t="s">
        <v>12</v>
      </c>
      <c r="E4" s="39" t="s">
        <v>120</v>
      </c>
      <c r="F4" s="37" t="s">
        <v>11</v>
      </c>
      <c r="G4" s="39" t="s">
        <v>121</v>
      </c>
      <c r="H4" s="2"/>
      <c r="I4" s="2"/>
      <c r="J4" s="2"/>
      <c r="K4" s="58"/>
      <c r="L4" s="2"/>
      <c r="M4" s="36" t="s">
        <v>140</v>
      </c>
      <c r="N4" s="37" t="s">
        <v>118</v>
      </c>
      <c r="O4" s="38" t="s">
        <v>119</v>
      </c>
      <c r="P4" s="39" t="s">
        <v>12</v>
      </c>
      <c r="Q4" s="39" t="s">
        <v>120</v>
      </c>
      <c r="R4" s="37" t="s">
        <v>11</v>
      </c>
      <c r="S4" s="39" t="s">
        <v>121</v>
      </c>
      <c r="T4" s="2"/>
      <c r="U4" s="2"/>
      <c r="V4" s="2"/>
      <c r="W4" s="58"/>
      <c r="X4" s="2"/>
      <c r="Y4" s="36" t="s">
        <v>140</v>
      </c>
      <c r="Z4" s="37" t="s">
        <v>118</v>
      </c>
      <c r="AA4" s="38" t="s">
        <v>119</v>
      </c>
      <c r="AB4" s="39" t="s">
        <v>12</v>
      </c>
      <c r="AC4" s="39" t="s">
        <v>120</v>
      </c>
      <c r="AD4" s="37" t="s">
        <v>11</v>
      </c>
      <c r="AE4" s="39" t="s">
        <v>121</v>
      </c>
      <c r="AF4" s="2"/>
      <c r="AG4" s="2"/>
      <c r="AH4" s="2"/>
      <c r="AI4" s="58"/>
    </row>
    <row r="5" spans="1:35" s="60" customFormat="1" ht="15.6">
      <c r="A5" s="115" t="s">
        <v>758</v>
      </c>
      <c r="B5" s="57"/>
      <c r="C5" s="771"/>
      <c r="D5" s="45"/>
      <c r="E5" s="54" t="s">
        <v>146</v>
      </c>
      <c r="F5" s="50"/>
      <c r="G5" s="47"/>
      <c r="H5" s="2"/>
      <c r="I5" s="642" t="s">
        <v>108</v>
      </c>
      <c r="J5" s="642" t="s">
        <v>109</v>
      </c>
      <c r="K5" s="643" t="s">
        <v>110</v>
      </c>
      <c r="L5" s="2"/>
      <c r="M5" s="115" t="s">
        <v>758</v>
      </c>
      <c r="N5" s="57"/>
      <c r="O5" s="771"/>
      <c r="P5" s="771"/>
      <c r="Q5" s="117" t="s">
        <v>146</v>
      </c>
      <c r="R5" s="50"/>
      <c r="S5" s="47"/>
      <c r="T5" s="2"/>
      <c r="U5" s="642" t="s">
        <v>108</v>
      </c>
      <c r="V5" s="642" t="s">
        <v>109</v>
      </c>
      <c r="W5" s="643" t="s">
        <v>110</v>
      </c>
      <c r="X5" s="61"/>
      <c r="Y5" s="115" t="s">
        <v>758</v>
      </c>
      <c r="Z5" s="57"/>
      <c r="AA5" s="771"/>
      <c r="AB5" s="771"/>
      <c r="AC5" s="117" t="s">
        <v>146</v>
      </c>
      <c r="AD5" s="50"/>
      <c r="AE5" s="47"/>
      <c r="AF5" s="2"/>
      <c r="AG5" s="642" t="s">
        <v>108</v>
      </c>
      <c r="AH5" s="642" t="s">
        <v>109</v>
      </c>
      <c r="AI5" s="643" t="s">
        <v>110</v>
      </c>
    </row>
    <row r="6" spans="1:35" s="60" customFormat="1" ht="15.6">
      <c r="A6" s="615" t="s">
        <v>13</v>
      </c>
      <c r="B6" s="616" t="str">
        <f t="shared" ref="B6:B11" si="0">VLOOKUP(A6,Macronutrients,17,FALSE)</f>
        <v>None</v>
      </c>
      <c r="C6" s="617">
        <f>VLOOKUP(A6,Macronutrients,18,FALSE)</f>
        <v>0</v>
      </c>
      <c r="D6" s="616">
        <f t="shared" ref="D6:D11" si="1">VLOOKUP(A6,Macronutrients,16,FALSE)</f>
        <v>1</v>
      </c>
      <c r="E6" s="618">
        <v>0</v>
      </c>
      <c r="F6" s="619">
        <f t="shared" ref="F6:F11" si="2">VLOOKUP(A6,Macronutrients,15,FALSE)</f>
        <v>0</v>
      </c>
      <c r="G6" s="47">
        <f t="shared" ref="G6:G11" si="3">(E6*VLOOKUP(A6,Macronutrients,14,FALSE)/D6)*C6</f>
        <v>0</v>
      </c>
      <c r="H6" s="2"/>
      <c r="I6" s="620">
        <f>VLOOKUP(A6,Macronutrients,2,FALSE)*E6+VLOOKUP(A7,Macronutrients,2,FALSE)*E7+VLOOKUP(A8,Macronutrients,2,FALSE)*E8+VLOOKUP(A9,Macronutrients,2,FALSE)*E9+VLOOKUP(A10,Macronutrients,2,FALSE)*E10+VLOOKUP(A11,Macronutrients,2,FALSE)*E11+VLOOKUP(A14,Micronutrients,2,FALSE)*E14+VLOOKUP(A15,Micronutrients,2,FALSE)*E15+VLOOKUP(A16,Micronutrients,2,FALSE)*E16+VLOOKUP(A17,Micronutrients,2,FALSE)*E17</f>
        <v>0</v>
      </c>
      <c r="J6" s="621">
        <f>VLOOKUP(A6,Macronutrients,3,FALSE)*E6+VLOOKUP(A7,Macronutrients,3,FALSE)*E7+VLOOKUP(A8,Macronutrients,3,FALSE)*E8+VLOOKUP(A9,Macronutrients,3,FALSE)*E9+VLOOKUP(A10,Macronutrients,3,FALSE)*E10+VLOOKUP(A11,Macronutrients,3,FALSE)*E11+VLOOKUP(A14,Micronutrients,3,FALSE)*E14+VLOOKUP(A15,Micronutrients,3,FALSE)*E15+VLOOKUP(A16,Micronutrients,3,FALSE)*E16+VLOOKUP(A17,Micronutrients,3,FALSE)*E17</f>
        <v>0</v>
      </c>
      <c r="K6" s="622">
        <f>VLOOKUP(A6,Macronutrients,4,FALSE)*E6+VLOOKUP(A7,Macronutrients,4,FALSE)*E7+VLOOKUP(A8,Macronutrients,4,FALSE)*E8+VLOOKUP(A9,Macronutrients,4,FALSE)*E9+VLOOKUP(A10,Macronutrients,4,FALSE)*E10+VLOOKUP(A11,Macronutrients,4,FALSE)*E11+VLOOKUP(A14,Micronutrients,4,FALSE)*E14+VLOOKUP(A15,Micronutrients,4,FALSE)*E15+VLOOKUP(A16,Micronutrients,4,FALSE)*E16+VLOOKUP(A17,Micronutrients,4,FALSE)*E17</f>
        <v>0</v>
      </c>
      <c r="M6" s="615" t="s">
        <v>13</v>
      </c>
      <c r="N6" s="616" t="str">
        <f t="shared" ref="N6:N11" si="4">VLOOKUP(M6,Macronutrients,17,FALSE)</f>
        <v>None</v>
      </c>
      <c r="O6" s="617">
        <f t="shared" ref="O6:O11" si="5">VLOOKUP(M6,Macronutrients,18,FALSE)</f>
        <v>0</v>
      </c>
      <c r="P6" s="616">
        <f t="shared" ref="P6:P11" si="6">VLOOKUP(M6,Macronutrients,16,FALSE)</f>
        <v>1</v>
      </c>
      <c r="Q6" s="618">
        <v>0</v>
      </c>
      <c r="R6" s="619">
        <f t="shared" ref="R6:R11" si="7">VLOOKUP(M6,Macronutrients,15,FALSE)</f>
        <v>0</v>
      </c>
      <c r="S6" s="47">
        <f t="shared" ref="S6:S11" si="8">(Q6*VLOOKUP(M6,Macronutrients,14,FALSE)/P6)*O6</f>
        <v>0</v>
      </c>
      <c r="T6" s="2"/>
      <c r="U6" s="620">
        <f>VLOOKUP(M6,Macronutrients,2,FALSE)*Q6+VLOOKUP(M7,Macronutrients,2,FALSE)*Q7+VLOOKUP(M8,Macronutrients,2,FALSE)*Q8+VLOOKUP(M9,Macronutrients,2,FALSE)*Q9+VLOOKUP(M10,Macronutrients,2,FALSE)*Q10+VLOOKUP(M11,Macronutrients,2,FALSE)*Q11+VLOOKUP(M14,Micronutrients,2,FALSE)*Q14+VLOOKUP(M15,Micronutrients,2,FALSE)*Q15+VLOOKUP(M16,Micronutrients,2,FALSE)*Q16+VLOOKUP(M17,Micronutrients,2,FALSE)*Q17</f>
        <v>0</v>
      </c>
      <c r="V6" s="621">
        <f>VLOOKUP(M6,Macronutrients,3,FALSE)*Q6+VLOOKUP(M7,Macronutrients,3,FALSE)*Q7+VLOOKUP(M8,Macronutrients,3,FALSE)*Q8+VLOOKUP(M9,Macronutrients,3,FALSE)*Q9+VLOOKUP(M10,Macronutrients,3,FALSE)*Q10+VLOOKUP(M11,Macronutrients,3,FALSE)*Q11+VLOOKUP(M14,Micronutrients,3,FALSE)*Q14+VLOOKUP(M15,Micronutrients,3,FALSE)*Q15+VLOOKUP(M16,Micronutrients,3,FALSE)*Q16+VLOOKUP(M17,Micronutrients,3,FALSE)*Q17</f>
        <v>0</v>
      </c>
      <c r="W6" s="622">
        <f>VLOOKUP(M6,Macronutrients,4,FALSE)*Q6+VLOOKUP(M7,Macronutrients,4,FALSE)*Q7+VLOOKUP(M8,Macronutrients,4,FALSE)*Q8+VLOOKUP(M9,Macronutrients,4,FALSE)*Q9+VLOOKUP(M10,Macronutrients,4,FALSE)*Q10+VLOOKUP(M11,Macronutrients,4,FALSE)*Q11+VLOOKUP(M14,Micronutrients,4,FALSE)*Q14+VLOOKUP(M15,Micronutrients,4,FALSE)*Q15+VLOOKUP(M16,Micronutrients,4,FALSE)*Q16+VLOOKUP(M17,Micronutrients,4,FALSE)*Q17</f>
        <v>0</v>
      </c>
      <c r="X6" s="623"/>
      <c r="Y6" s="615" t="s">
        <v>13</v>
      </c>
      <c r="Z6" s="616" t="str">
        <f t="shared" ref="Z6:Z11" si="9">VLOOKUP(Y6,Macronutrients,17,FALSE)</f>
        <v>None</v>
      </c>
      <c r="AA6" s="617">
        <f t="shared" ref="AA6:AA11" si="10">VLOOKUP(Y6,Macronutrients,18,FALSE)</f>
        <v>0</v>
      </c>
      <c r="AB6" s="616">
        <f t="shared" ref="AB6:AB11" si="11">VLOOKUP(Y6,Macronutrients,16,FALSE)</f>
        <v>1</v>
      </c>
      <c r="AC6" s="618">
        <v>0</v>
      </c>
      <c r="AD6" s="619">
        <f t="shared" ref="AD6:AD11" si="12">VLOOKUP(Y6,Macronutrients,15,FALSE)</f>
        <v>0</v>
      </c>
      <c r="AE6" s="47">
        <f t="shared" ref="AE6:AE11" si="13">(AC6*VLOOKUP(Y6,Macronutrients,14,FALSE)/AB6)*AA6</f>
        <v>0</v>
      </c>
      <c r="AF6" s="2"/>
      <c r="AG6" s="621">
        <f>VLOOKUP(Y6,Macronutrients,2,FALSE)*AC6+VLOOKUP(Y7,Macronutrients,2,FALSE)*AC7+VLOOKUP(Y8,Macronutrients,2,FALSE)*AC8+VLOOKUP(Y9,Macronutrients,2,FALSE)*AC9+VLOOKUP(Y10,Macronutrients,2,FALSE)*AC10+VLOOKUP(Y11,Macronutrients,2,FALSE)*AC11+VLOOKUP(Y14,Micronutrients,2,FALSE)*AC14+VLOOKUP(Y15,Micronutrients,2,FALSE)*AC15+VLOOKUP(Y16,Micronutrients,2,FALSE)*AC16+VLOOKUP(Y17,Micronutrients,2,FALSE)*AC17</f>
        <v>0</v>
      </c>
      <c r="AH6" s="621">
        <f>VLOOKUP(Y6,Macronutrients,3,FALSE)*AC6+VLOOKUP(Y7,Macronutrients,3,FALSE)*AC7+VLOOKUP(Y8,Macronutrients,3,FALSE)*AC8+VLOOKUP(Y9,Macronutrients,3,FALSE)*AC9+VLOOKUP(Y10,Macronutrients,3,FALSE)*AC10+VLOOKUP(Y11,Macronutrients,3,FALSE)*AC11+VLOOKUP(Y14,Micronutrients,3,FALSE)*AC14+VLOOKUP(Y15,Micronutrients,3,FALSE)*AC15+VLOOKUP(Y16,Micronutrients,3,FALSE)*AC16+VLOOKUP(Y17,Micronutrients,3,FALSE)*AC17</f>
        <v>0</v>
      </c>
      <c r="AI6" s="622">
        <f>VLOOKUP(Y6,Macronutrients,4,FALSE)*AC6+VLOOKUP(Y7,Macronutrients,4,FALSE)*AC7+VLOOKUP(Y8,Macronutrients,4,FALSE)*AC8+VLOOKUP(Y9,Macronutrients,4,FALSE)*AC9+VLOOKUP(Y10,Macronutrients,4,FALSE)*AC10+VLOOKUP(Y11,Macronutrients,4,FALSE)*AC11+VLOOKUP(Y14,Micronutrients,4,FALSE)*AC14+VLOOKUP(Y15,Micronutrients,4,FALSE)*AC15+VLOOKUP(Y16,Micronutrients,4,FALSE)*AC16+VLOOKUP(Y17,Micronutrients,4,FALSE)*AC17</f>
        <v>0</v>
      </c>
    </row>
    <row r="7" spans="1:35" s="60" customFormat="1" ht="15.6">
      <c r="A7" s="615" t="s">
        <v>13</v>
      </c>
      <c r="B7" s="616" t="str">
        <f t="shared" si="0"/>
        <v>None</v>
      </c>
      <c r="C7" s="617">
        <f t="shared" ref="C7:C11" si="14">VLOOKUP(A7,Macronutrients,18,FALSE)</f>
        <v>0</v>
      </c>
      <c r="D7" s="616">
        <f t="shared" si="1"/>
        <v>1</v>
      </c>
      <c r="E7" s="618">
        <v>0</v>
      </c>
      <c r="F7" s="619">
        <f t="shared" si="2"/>
        <v>0</v>
      </c>
      <c r="G7" s="47">
        <f t="shared" si="3"/>
        <v>0</v>
      </c>
      <c r="H7" s="2"/>
      <c r="I7" s="624"/>
      <c r="J7" s="624"/>
      <c r="K7" s="625"/>
      <c r="M7" s="615" t="s">
        <v>13</v>
      </c>
      <c r="N7" s="616" t="str">
        <f t="shared" si="4"/>
        <v>None</v>
      </c>
      <c r="O7" s="617">
        <f t="shared" si="5"/>
        <v>0</v>
      </c>
      <c r="P7" s="616">
        <f t="shared" si="6"/>
        <v>1</v>
      </c>
      <c r="Q7" s="618">
        <v>0</v>
      </c>
      <c r="R7" s="619">
        <f t="shared" si="7"/>
        <v>0</v>
      </c>
      <c r="S7" s="47">
        <f t="shared" si="8"/>
        <v>0</v>
      </c>
      <c r="T7" s="2"/>
      <c r="U7" s="624"/>
      <c r="V7" s="624"/>
      <c r="W7" s="625"/>
      <c r="X7" s="217"/>
      <c r="Y7" s="615" t="s">
        <v>13</v>
      </c>
      <c r="Z7" s="616" t="str">
        <f t="shared" si="9"/>
        <v>None</v>
      </c>
      <c r="AA7" s="617">
        <f t="shared" si="10"/>
        <v>0</v>
      </c>
      <c r="AB7" s="616">
        <f t="shared" si="11"/>
        <v>1</v>
      </c>
      <c r="AC7" s="618">
        <v>0</v>
      </c>
      <c r="AD7" s="619">
        <f t="shared" si="12"/>
        <v>0</v>
      </c>
      <c r="AE7" s="47">
        <f t="shared" si="13"/>
        <v>0</v>
      </c>
      <c r="AF7" s="2"/>
      <c r="AG7" s="624"/>
      <c r="AH7" s="624"/>
      <c r="AI7" s="625"/>
    </row>
    <row r="8" spans="1:35" s="60" customFormat="1" ht="15.6">
      <c r="A8" s="615" t="s">
        <v>13</v>
      </c>
      <c r="B8" s="616" t="str">
        <f t="shared" si="0"/>
        <v>None</v>
      </c>
      <c r="C8" s="617">
        <f t="shared" si="14"/>
        <v>0</v>
      </c>
      <c r="D8" s="616">
        <f t="shared" si="1"/>
        <v>1</v>
      </c>
      <c r="E8" s="618">
        <v>0</v>
      </c>
      <c r="F8" s="619">
        <f t="shared" si="2"/>
        <v>0</v>
      </c>
      <c r="G8" s="47">
        <f t="shared" si="3"/>
        <v>0</v>
      </c>
      <c r="H8" s="2"/>
      <c r="I8" s="642" t="s">
        <v>111</v>
      </c>
      <c r="J8" s="642" t="s">
        <v>112</v>
      </c>
      <c r="K8" s="643" t="s">
        <v>113</v>
      </c>
      <c r="M8" s="615" t="s">
        <v>13</v>
      </c>
      <c r="N8" s="616" t="str">
        <f t="shared" si="4"/>
        <v>None</v>
      </c>
      <c r="O8" s="617">
        <f t="shared" si="5"/>
        <v>0</v>
      </c>
      <c r="P8" s="616">
        <f t="shared" si="6"/>
        <v>1</v>
      </c>
      <c r="Q8" s="618">
        <v>0</v>
      </c>
      <c r="R8" s="619">
        <f t="shared" si="7"/>
        <v>0</v>
      </c>
      <c r="S8" s="47">
        <f t="shared" si="8"/>
        <v>0</v>
      </c>
      <c r="T8" s="2"/>
      <c r="U8" s="642" t="s">
        <v>111</v>
      </c>
      <c r="V8" s="642" t="s">
        <v>112</v>
      </c>
      <c r="W8" s="643" t="s">
        <v>113</v>
      </c>
      <c r="X8" s="626"/>
      <c r="Y8" s="615" t="s">
        <v>13</v>
      </c>
      <c r="Z8" s="616" t="str">
        <f t="shared" si="9"/>
        <v>None</v>
      </c>
      <c r="AA8" s="617">
        <f t="shared" si="10"/>
        <v>0</v>
      </c>
      <c r="AB8" s="616">
        <f t="shared" si="11"/>
        <v>1</v>
      </c>
      <c r="AC8" s="618">
        <v>0</v>
      </c>
      <c r="AD8" s="619">
        <f t="shared" si="12"/>
        <v>0</v>
      </c>
      <c r="AE8" s="47">
        <f t="shared" si="13"/>
        <v>0</v>
      </c>
      <c r="AF8" s="2"/>
      <c r="AG8" s="642" t="s">
        <v>111</v>
      </c>
      <c r="AH8" s="642" t="s">
        <v>112</v>
      </c>
      <c r="AI8" s="643" t="s">
        <v>113</v>
      </c>
    </row>
    <row r="9" spans="1:35" s="60" customFormat="1" ht="15.6">
      <c r="A9" s="615" t="s">
        <v>13</v>
      </c>
      <c r="B9" s="616" t="str">
        <f t="shared" si="0"/>
        <v>None</v>
      </c>
      <c r="C9" s="617">
        <f t="shared" si="14"/>
        <v>0</v>
      </c>
      <c r="D9" s="616">
        <f t="shared" si="1"/>
        <v>1</v>
      </c>
      <c r="E9" s="618">
        <v>0</v>
      </c>
      <c r="F9" s="619">
        <f t="shared" si="2"/>
        <v>0</v>
      </c>
      <c r="G9" s="47">
        <f t="shared" si="3"/>
        <v>0</v>
      </c>
      <c r="H9" s="2"/>
      <c r="I9" s="621">
        <f>VLOOKUP(A6,Macronutrients,5,FALSE)*E6+VLOOKUP(A7,Macronutrients,5,FALSE)*E7+VLOOKUP(A8,Macronutrients,5,FALSE)*E8+VLOOKUP(A9,Macronutrients,5,FALSE)*E9+VLOOKUP(A10,Macronutrients,5,FALSE)*E10+VLOOKUP(A11,Macronutrients,5,FALSE)*E11+VLOOKUP(A14,Micronutrients,5,FALSE)*E14+VLOOKUP(A15,Micronutrients,5,FALSE)*E15+VLOOKUP(A16,Micronutrients,5,FALSE)*E16+VLOOKUP(A17,Micronutrients,5,FALSE)*E17+VLOOKUP(A20,Lime,5,FALSE)*E20</f>
        <v>0</v>
      </c>
      <c r="J9" s="621">
        <f>VLOOKUP(A6,Macronutrients,7,FALSE)*E6+VLOOKUP(A7,Macronutrients,7,FALSE)*E7+VLOOKUP(A8,Macronutrients,7,FALSE)*E8+VLOOKUP(A9,Macronutrients,7,FALSE)*E9+VLOOKUP(A10,Macronutrients,7,FALSE)*E10+VLOOKUP(A11,Macronutrients,7,FALSE)*E11+VLOOKUP(A14,Micronutrients,7,FALSE)*E14+VLOOKUP(A15,Micronutrients,7,FALSE)*E15+VLOOKUP(A16,Micronutrients,7,FALSE)*E16+VLOOKUP(A17,Micronutrients,7,FALSE)*E17+VLOOKUP(A20,Lime,7,FALSE)*E20</f>
        <v>0</v>
      </c>
      <c r="K9" s="622">
        <f>VLOOKUP($A6,Macronutrients,6,FALSE)*$E$6+VLOOKUP($A7,Macronutrients,6,FALSE)*$E$7+VLOOKUP($A8,Macronutrients,6,FALSE)*$E$8+VLOOKUP($A9,Macronutrients,6,FALSE)*$E$9+VLOOKUP($A10,Macronutrients,6,FALSE)*$E$10+VLOOKUP($A11,Macronutrients,6,FALSE)*$E$11+VLOOKUP($A14,Micronutrients,6,FALSE)*$E$14+VLOOKUP($A15,Micronutrients,6,FALSE)*E15+VLOOKUP($A16,Micronutrients,6,FALSE)*$E$16+VLOOKUP($A17,Micronutrients,6,FALSE)*$E$17+VLOOKUP($A20,Lime,6,FALSE)*E20</f>
        <v>0</v>
      </c>
      <c r="M9" s="615" t="s">
        <v>13</v>
      </c>
      <c r="N9" s="616" t="str">
        <f t="shared" si="4"/>
        <v>None</v>
      </c>
      <c r="O9" s="617">
        <f t="shared" si="5"/>
        <v>0</v>
      </c>
      <c r="P9" s="616">
        <f t="shared" si="6"/>
        <v>1</v>
      </c>
      <c r="Q9" s="618">
        <v>0</v>
      </c>
      <c r="R9" s="619">
        <f t="shared" si="7"/>
        <v>0</v>
      </c>
      <c r="S9" s="47">
        <f t="shared" si="8"/>
        <v>0</v>
      </c>
      <c r="T9" s="2"/>
      <c r="U9" s="621">
        <f>VLOOKUP(M6,Macronutrients,5,FALSE)*Q6+VLOOKUP(M7,Macronutrients,5,FALSE)*Q7+VLOOKUP(M8,Macronutrients,5,FALSE)*Q8+VLOOKUP(M9,Macronutrients,5,FALSE)*Q9+VLOOKUP(M10,Macronutrients,5,FALSE)*Q10+VLOOKUP(M11,Macronutrients,5,FALSE)*Q11+VLOOKUP(M14,Micronutrients,5,FALSE)*Q14+VLOOKUP(M15,Micronutrients,5,FALSE)*Q15+VLOOKUP(M16,Micronutrients,5,FALSE)*Q16+VLOOKUP(M17,Micronutrients,5,FALSE)*Q17+VLOOKUP(M20,Lime,5,FALSE)*Q20</f>
        <v>0</v>
      </c>
      <c r="V9" s="621">
        <f>VLOOKUP(M6,Macronutrients,7,FALSE)*Q6+VLOOKUP(M7,Macronutrients,7,FALSE)*Q7+VLOOKUP(M8,Macronutrients,7,FALSE)*Q8+VLOOKUP(M9,Macronutrients,7,FALSE)*Q9+VLOOKUP(M10,Macronutrients,7,FALSE)*Q10+VLOOKUP(M11,Macronutrients,7,FALSE)*Q11+VLOOKUP(M14,Micronutrients,7,FALSE)*Q14+VLOOKUP(M15,Micronutrients,7,FALSE)*Q15+VLOOKUP(M16,Micronutrients,7,FALSE)*Q16+VLOOKUP(M17,Micronutrients,7,FALSE)*Q17+VLOOKUP(M20,Lime,7,FALSE)*Q20</f>
        <v>0</v>
      </c>
      <c r="W9" s="622">
        <f>VLOOKUP($A6,Macronutrients,6,FALSE)*$E$6+VLOOKUP($A7,Macronutrients,6,FALSE)*$E$7+VLOOKUP($A8,Macronutrients,6,FALSE)*$E$8+VLOOKUP($A9,Macronutrients,6,FALSE)*$E$9+VLOOKUP($A10,Macronutrients,6,FALSE)*$E$10+VLOOKUP($A11,Macronutrients,6,FALSE)*$E$11+VLOOKUP($A14,Micronutrients,6,FALSE)*$E$14+VLOOKUP($A15,Micronutrients,6,FALSE)*Q15+VLOOKUP($A16,Micronutrients,6,FALSE)*$E$16+VLOOKUP($A17,Micronutrients,6,FALSE)*$E$17+VLOOKUP($A20,Lime,6,FALSE)*Q20</f>
        <v>0</v>
      </c>
      <c r="X9" s="623"/>
      <c r="Y9" s="615" t="s">
        <v>13</v>
      </c>
      <c r="Z9" s="616" t="str">
        <f t="shared" si="9"/>
        <v>None</v>
      </c>
      <c r="AA9" s="617">
        <f t="shared" si="10"/>
        <v>0</v>
      </c>
      <c r="AB9" s="616">
        <f t="shared" si="11"/>
        <v>1</v>
      </c>
      <c r="AC9" s="618">
        <v>0</v>
      </c>
      <c r="AD9" s="619">
        <f t="shared" si="12"/>
        <v>0</v>
      </c>
      <c r="AE9" s="47">
        <f t="shared" si="13"/>
        <v>0</v>
      </c>
      <c r="AF9" s="2"/>
      <c r="AG9" s="621">
        <f>VLOOKUP(Y6,Macronutrients,5,FALSE)*AC6+VLOOKUP(Y7,Macronutrients,5,FALSE)*AC7+VLOOKUP(Y8,Macronutrients,5,FALSE)*AC8+VLOOKUP(Y9,Macronutrients,5,FALSE)*AC9+VLOOKUP(Y10,Macronutrients,5,FALSE)*AC10+VLOOKUP(Y11,Macronutrients,5,FALSE)*AC11+VLOOKUP(Y14,Micronutrients,5,FALSE)*AC14+VLOOKUP(Y15,Micronutrients,5,FALSE)*AC15+VLOOKUP(Y16,Micronutrients,5,FALSE)*AC16+VLOOKUP(Y17,Micronutrients,5,FALSE)*AC17+VLOOKUP(Y20,Lime,5,FALSE)*AC20</f>
        <v>0</v>
      </c>
      <c r="AH9" s="621">
        <f>VLOOKUP(Y6,Macronutrients,7,FALSE)*AC6+VLOOKUP(Y7,Macronutrients,7,FALSE)*AC7+VLOOKUP(Y8,Macronutrients,7,FALSE)*AC8+VLOOKUP(Y9,Macronutrients,7,FALSE)*AC9+VLOOKUP(Y10,Macronutrients,7,FALSE)*AC10+VLOOKUP(Y11,Macronutrients,7,FALSE)*AC11+VLOOKUP(Y14,Micronutrients,7,FALSE)*AC14+VLOOKUP(Y15,Micronutrients,7,FALSE)*AC15+VLOOKUP(Y16,Micronutrients,7,FALSE)*AC16+VLOOKUP(Y17,Micronutrients,7,FALSE)*AC17+VLOOKUP(Y20,Lime,7,FALSE)*AC20</f>
        <v>0</v>
      </c>
      <c r="AI9" s="622">
        <f>VLOOKUP($A6,Macronutrients,6,FALSE)*$E$6+VLOOKUP($A7,Macronutrients,6,FALSE)*$E$7+VLOOKUP($A8,Macronutrients,6,FALSE)*$E$8+VLOOKUP($A9,Macronutrients,6,FALSE)*$E$9+VLOOKUP($A10,Macronutrients,6,FALSE)*$E$10+VLOOKUP($A11,Macronutrients,6,FALSE)*$E$11+VLOOKUP($A14,Micronutrients,6,FALSE)*$E$14+VLOOKUP($A15,Micronutrients,6,FALSE)*AC15+VLOOKUP($A16,Micronutrients,6,FALSE)*$E$16+VLOOKUP($A17,Micronutrients,6,FALSE)*$E$17+VLOOKUP($A20,Lime,6,FALSE)*AC20</f>
        <v>0</v>
      </c>
    </row>
    <row r="10" spans="1:35" s="60" customFormat="1" ht="15.6">
      <c r="A10" s="615" t="s">
        <v>13</v>
      </c>
      <c r="B10" s="616" t="str">
        <f t="shared" si="0"/>
        <v>None</v>
      </c>
      <c r="C10" s="617">
        <f t="shared" si="14"/>
        <v>0</v>
      </c>
      <c r="D10" s="616">
        <f t="shared" si="1"/>
        <v>1</v>
      </c>
      <c r="E10" s="618">
        <v>0</v>
      </c>
      <c r="F10" s="619">
        <f t="shared" si="2"/>
        <v>0</v>
      </c>
      <c r="G10" s="47">
        <f t="shared" si="3"/>
        <v>0</v>
      </c>
      <c r="H10" s="2"/>
      <c r="I10" s="624"/>
      <c r="J10" s="624"/>
      <c r="K10" s="625"/>
      <c r="M10" s="615" t="s">
        <v>13</v>
      </c>
      <c r="N10" s="616" t="str">
        <f t="shared" si="4"/>
        <v>None</v>
      </c>
      <c r="O10" s="617">
        <f t="shared" si="5"/>
        <v>0</v>
      </c>
      <c r="P10" s="616">
        <f t="shared" si="6"/>
        <v>1</v>
      </c>
      <c r="Q10" s="618">
        <v>0</v>
      </c>
      <c r="R10" s="619">
        <f t="shared" si="7"/>
        <v>0</v>
      </c>
      <c r="S10" s="47">
        <f t="shared" si="8"/>
        <v>0</v>
      </c>
      <c r="T10" s="2"/>
      <c r="U10" s="624"/>
      <c r="V10" s="624"/>
      <c r="W10" s="625"/>
      <c r="X10" s="217"/>
      <c r="Y10" s="615" t="s">
        <v>13</v>
      </c>
      <c r="Z10" s="616" t="str">
        <f t="shared" si="9"/>
        <v>None</v>
      </c>
      <c r="AA10" s="617">
        <f t="shared" si="10"/>
        <v>0</v>
      </c>
      <c r="AB10" s="616">
        <f t="shared" si="11"/>
        <v>1</v>
      </c>
      <c r="AC10" s="618">
        <v>0</v>
      </c>
      <c r="AD10" s="619">
        <f t="shared" si="12"/>
        <v>0</v>
      </c>
      <c r="AE10" s="47">
        <f t="shared" si="13"/>
        <v>0</v>
      </c>
      <c r="AF10" s="2"/>
      <c r="AG10" s="624"/>
      <c r="AH10" s="624"/>
      <c r="AI10" s="625"/>
    </row>
    <row r="11" spans="1:35" s="60" customFormat="1" ht="15.6">
      <c r="A11" s="615" t="s">
        <v>13</v>
      </c>
      <c r="B11" s="616" t="str">
        <f t="shared" si="0"/>
        <v>None</v>
      </c>
      <c r="C11" s="617">
        <f t="shared" si="14"/>
        <v>0</v>
      </c>
      <c r="D11" s="616">
        <f t="shared" si="1"/>
        <v>1</v>
      </c>
      <c r="E11" s="618">
        <v>0</v>
      </c>
      <c r="F11" s="619">
        <f t="shared" si="2"/>
        <v>0</v>
      </c>
      <c r="G11" s="47">
        <f t="shared" si="3"/>
        <v>0</v>
      </c>
      <c r="H11" s="2"/>
      <c r="I11" s="642" t="s">
        <v>114</v>
      </c>
      <c r="J11" s="642" t="s">
        <v>115</v>
      </c>
      <c r="K11" s="643" t="s">
        <v>116</v>
      </c>
      <c r="M11" s="615" t="s">
        <v>13</v>
      </c>
      <c r="N11" s="616" t="str">
        <f t="shared" si="4"/>
        <v>None</v>
      </c>
      <c r="O11" s="617">
        <f t="shared" si="5"/>
        <v>0</v>
      </c>
      <c r="P11" s="616">
        <f t="shared" si="6"/>
        <v>1</v>
      </c>
      <c r="Q11" s="618">
        <v>0</v>
      </c>
      <c r="R11" s="619">
        <f t="shared" si="7"/>
        <v>0</v>
      </c>
      <c r="S11" s="47">
        <f t="shared" si="8"/>
        <v>0</v>
      </c>
      <c r="T11" s="2"/>
      <c r="U11" s="642" t="s">
        <v>114</v>
      </c>
      <c r="V11" s="642" t="s">
        <v>115</v>
      </c>
      <c r="W11" s="643" t="s">
        <v>116</v>
      </c>
      <c r="X11" s="626"/>
      <c r="Y11" s="615" t="s">
        <v>13</v>
      </c>
      <c r="Z11" s="616" t="str">
        <f t="shared" si="9"/>
        <v>None</v>
      </c>
      <c r="AA11" s="617">
        <f t="shared" si="10"/>
        <v>0</v>
      </c>
      <c r="AB11" s="616">
        <f t="shared" si="11"/>
        <v>1</v>
      </c>
      <c r="AC11" s="618">
        <v>0</v>
      </c>
      <c r="AD11" s="619">
        <f t="shared" si="12"/>
        <v>0</v>
      </c>
      <c r="AE11" s="47">
        <f t="shared" si="13"/>
        <v>0</v>
      </c>
      <c r="AF11" s="2"/>
      <c r="AG11" s="642" t="s">
        <v>114</v>
      </c>
      <c r="AH11" s="642" t="s">
        <v>115</v>
      </c>
      <c r="AI11" s="643" t="s">
        <v>116</v>
      </c>
    </row>
    <row r="12" spans="1:35" s="60" customFormat="1" ht="15.6">
      <c r="A12" s="627"/>
      <c r="B12" s="47"/>
      <c r="C12" s="617"/>
      <c r="D12" s="619"/>
      <c r="E12" s="122"/>
      <c r="F12" s="619"/>
      <c r="G12" s="47"/>
      <c r="H12" s="2"/>
      <c r="I12" s="750">
        <f>VLOOKUP(A6,Macronutrients,8,FALSE)*E6+VLOOKUP(A7,Macronutrients,8,FALSE)*E7+VLOOKUP(A8,Macronutrients,8,FALSE)*E8+VLOOKUP(A9,Macronutrients,8,FALSE)*E9+VLOOKUP(A10,Macronutrients,8,FALSE)*E10+VLOOKUP(A11,Macronutrients,8,FALSE)*E11+VLOOKUP(A14,Micronutrients,8,FALSE)*E14+VLOOKUP(A15,Micronutrients,8,FALSE)*E15+VLOOKUP(A16,Micronutrients,8,FALSE)*E16+VLOOKUP(A17,Micronutrients,8,FALSE)*E17+VLOOKUP(A20,Lime,8,FALSE)*E20</f>
        <v>0</v>
      </c>
      <c r="J12" s="750">
        <f>VLOOKUP(A6,Macronutrients,9,FALSE)*E6+VLOOKUP(A7,Macronutrients,9,FALSE)*E7+VLOOKUP(A8,Macronutrients,9,FALSE)*E8+VLOOKUP(A9,Macronutrients,9,FALSE)*E9+VLOOKUP(A10,Macronutrients,9,FALSE)*E10+VLOOKUP(A11,Macronutrients,9,FALSE)*E11+VLOOKUP(A14,Micronutrients,9,FALSE)*E14+VLOOKUP(A15,Micronutrients,9,FALSE)*E15+VLOOKUP(A16,Micronutrients,9,FALSE)*E16+VLOOKUP(A17,Micronutrients,9,FALSE)*E17+VLOOKUP(A20,Lime,9,FALSE)*E20</f>
        <v>0</v>
      </c>
      <c r="K12" s="772">
        <f>VLOOKUP(A6,Macronutrients,10,FALSE)*E6+VLOOKUP(A7,Macronutrients,10,FALSE)*E7+VLOOKUP(A8,Macronutrients,10,FALSE)*E8+VLOOKUP(A9,Macronutrients,10,FALSE)*E9+VLOOKUP(A10,Macronutrients,10,FALSE)*E10+VLOOKUP(A11,Macronutrients,10,FALSE)*E11+VLOOKUP(A14,Micronutrients,10,FALSE)*E14+VLOOKUP(A15,Micronutrients,10,FALSE)*E15+VLOOKUP(A16,Micronutrients,10,FALSE)*E16+VLOOKUP(A17,Micronutrients,10,FALSE)*E17+VLOOKUP(A20,Lime,10,FALSE)*E20</f>
        <v>0</v>
      </c>
      <c r="M12" s="627"/>
      <c r="N12" s="17"/>
      <c r="O12" s="617"/>
      <c r="P12" s="616"/>
      <c r="Q12" s="628"/>
      <c r="R12" s="619"/>
      <c r="S12" s="47"/>
      <c r="T12" s="2"/>
      <c r="U12" s="750">
        <f>VLOOKUP(M6,Macronutrients,8,FALSE)*Q6+VLOOKUP(M7,Macronutrients,8,FALSE)*Q7+VLOOKUP(M8,Macronutrients,8,FALSE)*Q8+VLOOKUP(M9,Macronutrients,8,FALSE)*Q9+VLOOKUP(M10,Macronutrients,8,FALSE)*Q10+VLOOKUP(M11,Macronutrients,8,FALSE)*Q11+VLOOKUP(M14,Micronutrients,8,FALSE)*Q14+VLOOKUP(M15,Micronutrients,8,FALSE)*Q15+VLOOKUP(M16,Micronutrients,8,FALSE)*Q16+VLOOKUP(M17,Micronutrients,8,FALSE)*Q17+VLOOKUP(M20,Lime,8,FALSE)*Q20</f>
        <v>0</v>
      </c>
      <c r="V12" s="750">
        <f>VLOOKUP(M6,Macronutrients,9,FALSE)*Q6+VLOOKUP(M7,Macronutrients,9,FALSE)*Q7+VLOOKUP(M8,Macronutrients,9,FALSE)*Q8+VLOOKUP(M9,Macronutrients,9,FALSE)*Q9+VLOOKUP(M10,Macronutrients,9,FALSE)*Q10+VLOOKUP(M11,Macronutrients,9,FALSE)*Q11+VLOOKUP(M14,Micronutrients,9,FALSE)*Q14+VLOOKUP(M15,Micronutrients,9,FALSE)*Q15+VLOOKUP(M16,Micronutrients,9,FALSE)*Q16+VLOOKUP(M17,Micronutrients,9,FALSE)*Q17+VLOOKUP(M20,Lime,9,FALSE)*Q20</f>
        <v>0</v>
      </c>
      <c r="W12" s="772">
        <f>VLOOKUP(M6,Macronutrients,10,FALSE)*Q6+VLOOKUP(M7,Macronutrients,10,FALSE)*Q7+VLOOKUP(M8,Macronutrients,10,FALSE)*Q8+VLOOKUP(M9,Macronutrients,10,FALSE)*Q9+VLOOKUP(M10,Macronutrients,10,FALSE)*Q10+VLOOKUP(M11,Macronutrients,10,FALSE)*Q11+VLOOKUP(M14,Micronutrients,10,FALSE)*Q14+VLOOKUP(M15,Micronutrients,10,FALSE)*Q15+VLOOKUP(M16,Micronutrients,10,FALSE)*Q16+VLOOKUP(M17,Micronutrients,10,FALSE)*Q17+VLOOKUP(M20,Lime,10,FALSE)*Q20</f>
        <v>0</v>
      </c>
      <c r="X12" s="629"/>
      <c r="Y12" s="627"/>
      <c r="Z12" s="17"/>
      <c r="AA12" s="617"/>
      <c r="AB12" s="616"/>
      <c r="AC12" s="628"/>
      <c r="AD12" s="619"/>
      <c r="AE12" s="47"/>
      <c r="AF12" s="2"/>
      <c r="AG12" s="750">
        <f>VLOOKUP(Y6,Macronutrients,8,FALSE)*AC6+VLOOKUP(Y7,Macronutrients,8,FALSE)*AC7+VLOOKUP(Y8,Macronutrients,8,FALSE)*AC8+VLOOKUP(Y9,Macronutrients,8,FALSE)*AC9+VLOOKUP(Y10,Macronutrients,8,FALSE)*AC10+VLOOKUP(Y11,Macronutrients,8,FALSE)*AC11+VLOOKUP(Y14,Micronutrients,8,FALSE)*AC14+VLOOKUP(Y15,Micronutrients,8,FALSE)*AC15+VLOOKUP(Y16,Micronutrients,8,FALSE)*AC16+VLOOKUP(Y17,Micronutrients,8,FALSE)*AC17+VLOOKUP(Y20,Lime,8,FALSE)*AC20</f>
        <v>0</v>
      </c>
      <c r="AH12" s="750">
        <f>VLOOKUP(Y6,Macronutrients,9,FALSE)*AC6+VLOOKUP(Y7,Macronutrients,9,FALSE)*AC7+VLOOKUP(Y8,Macronutrients,9,FALSE)*AC8+VLOOKUP(Y9,Macronutrients,9,FALSE)*AC9+VLOOKUP(Y10,Macronutrients,9,FALSE)*AC10+VLOOKUP(Y11,Macronutrients,9,FALSE)*AC11+VLOOKUP(Y14,Micronutrients,9,FALSE)*AC14+VLOOKUP(Y15,Micronutrients,9,FALSE)*AC15+VLOOKUP(Y16,Micronutrients,9,FALSE)*AC16+VLOOKUP(Y17,Micronutrients,9,FALSE)*AC17+VLOOKUP(Y20,Lime,9,FALSE)*AC20</f>
        <v>0</v>
      </c>
      <c r="AI12" s="772">
        <f>VLOOKUP(Y6,Macronutrients,10,FALSE)*AC6+VLOOKUP(Y7,Macronutrients,10,FALSE)*AC7+VLOOKUP(Y8,Macronutrients,10,FALSE)*AC8+VLOOKUP(Y9,Macronutrients,10,FALSE)*AC9+VLOOKUP(Y10,Macronutrients,10,FALSE)*AC10+VLOOKUP(Y11,Macronutrients,10,FALSE)*AC11+VLOOKUP(Y14,Micronutrients,10,FALSE)*AC14+VLOOKUP(Y15,Micronutrients,10,FALSE)*AC15+VLOOKUP(Y16,Micronutrients,10,FALSE)*AC16+VLOOKUP(Y17,Micronutrients,10,FALSE)*AC17+VLOOKUP(Y20,Lime,10,FALSE)*AC20</f>
        <v>0</v>
      </c>
    </row>
    <row r="13" spans="1:35" s="60" customFormat="1" ht="15.6">
      <c r="A13" s="115" t="s">
        <v>759</v>
      </c>
      <c r="B13" s="18"/>
      <c r="C13" s="617"/>
      <c r="D13" s="18"/>
      <c r="E13" s="628"/>
      <c r="F13" s="57"/>
      <c r="G13" s="47"/>
      <c r="H13" s="2"/>
      <c r="I13" s="2"/>
      <c r="J13" s="2"/>
      <c r="K13" s="58"/>
      <c r="M13" s="115" t="s">
        <v>759</v>
      </c>
      <c r="N13" s="18"/>
      <c r="O13" s="617"/>
      <c r="P13" s="18"/>
      <c r="Q13" s="628"/>
      <c r="R13" s="57"/>
      <c r="S13" s="47"/>
      <c r="T13" s="2"/>
      <c r="U13" s="2"/>
      <c r="V13" s="2"/>
      <c r="W13" s="58"/>
      <c r="Y13" s="115" t="s">
        <v>759</v>
      </c>
      <c r="Z13" s="18"/>
      <c r="AA13" s="617"/>
      <c r="AB13" s="18"/>
      <c r="AC13" s="628"/>
      <c r="AD13" s="57"/>
      <c r="AE13" s="47"/>
      <c r="AF13" s="2"/>
      <c r="AG13" s="2"/>
      <c r="AH13" s="2"/>
      <c r="AI13" s="58"/>
    </row>
    <row r="14" spans="1:35" s="60" customFormat="1" ht="15.6" customHeight="1">
      <c r="A14" s="615" t="s">
        <v>13</v>
      </c>
      <c r="B14" s="616" t="str">
        <f>VLOOKUP(A14,Micronutrients,17,FALSE)</f>
        <v>None</v>
      </c>
      <c r="C14" s="617">
        <f>VLOOKUP(A14,Micronutrients,18,FALSE)</f>
        <v>0</v>
      </c>
      <c r="D14" s="616">
        <f>VLOOKUP(A14,Micronutrients,16,FALSE)</f>
        <v>1</v>
      </c>
      <c r="E14" s="618">
        <v>0</v>
      </c>
      <c r="F14" s="619">
        <f>VLOOKUP(A14,Micronutrients,15,FALSE)</f>
        <v>0</v>
      </c>
      <c r="G14" s="47">
        <f>(E14*VLOOKUP(A14,Micronutrients,14,FALSE)/D14)*C14</f>
        <v>0</v>
      </c>
      <c r="H14" s="2"/>
      <c r="I14" s="642" t="s">
        <v>858</v>
      </c>
      <c r="J14" s="642" t="s">
        <v>859</v>
      </c>
      <c r="K14" s="643" t="s">
        <v>860</v>
      </c>
      <c r="M14" s="615" t="s">
        <v>13</v>
      </c>
      <c r="N14" s="616" t="str">
        <f>VLOOKUP(M14,Micronutrients,17,FALSE)</f>
        <v>None</v>
      </c>
      <c r="O14" s="617">
        <f>VLOOKUP(M14,Micronutrients,18,FALSE)</f>
        <v>0</v>
      </c>
      <c r="P14" s="616">
        <f>VLOOKUP(M14,Micronutrients,16,FALSE)</f>
        <v>1</v>
      </c>
      <c r="Q14" s="618">
        <v>0</v>
      </c>
      <c r="R14" s="619">
        <f>VLOOKUP(M14,Micronutrients,15,FALSE)</f>
        <v>0</v>
      </c>
      <c r="S14" s="47">
        <f>(Q14*VLOOKUP(M14,Micronutrients,14,FALSE)/P14)*O14</f>
        <v>0</v>
      </c>
      <c r="T14" s="2"/>
      <c r="U14" s="642" t="s">
        <v>858</v>
      </c>
      <c r="V14" s="642" t="s">
        <v>859</v>
      </c>
      <c r="W14" s="643" t="s">
        <v>860</v>
      </c>
      <c r="Y14" s="615" t="s">
        <v>13</v>
      </c>
      <c r="Z14" s="616" t="str">
        <f>VLOOKUP(Y14,Micronutrients,17,FALSE)</f>
        <v>None</v>
      </c>
      <c r="AA14" s="617">
        <f>VLOOKUP(Y14,Micronutrients,18,FALSE)</f>
        <v>0</v>
      </c>
      <c r="AB14" s="616">
        <f>VLOOKUP(Y14,Micronutrients,16,FALSE)</f>
        <v>1</v>
      </c>
      <c r="AC14" s="618">
        <v>0</v>
      </c>
      <c r="AD14" s="619">
        <f>VLOOKUP(Y14,Micronutrients,15,FALSE)</f>
        <v>0</v>
      </c>
      <c r="AE14" s="47">
        <f>(AC14*VLOOKUP(Y14,Micronutrients,14,FALSE)/AB14)*AA14</f>
        <v>0</v>
      </c>
      <c r="AF14" s="2"/>
      <c r="AG14" s="642" t="s">
        <v>858</v>
      </c>
      <c r="AH14" s="642" t="s">
        <v>859</v>
      </c>
      <c r="AI14" s="643" t="s">
        <v>860</v>
      </c>
    </row>
    <row r="15" spans="1:35" s="60" customFormat="1" ht="15.6">
      <c r="A15" s="615" t="s">
        <v>13</v>
      </c>
      <c r="B15" s="616" t="str">
        <f>VLOOKUP(A15,Micronutrients,17,FALSE)</f>
        <v>None</v>
      </c>
      <c r="C15" s="617">
        <f>VLOOKUP(A15,Micronutrients,18,FALSE)</f>
        <v>0</v>
      </c>
      <c r="D15" s="616">
        <f>VLOOKUP(A15,Micronutrients,16,FALSE)</f>
        <v>1</v>
      </c>
      <c r="E15" s="618">
        <v>0</v>
      </c>
      <c r="F15" s="619">
        <f>VLOOKUP(A15,Micronutrients,15,FALSE)</f>
        <v>0</v>
      </c>
      <c r="G15" s="47">
        <f>(E15*VLOOKUP(A15,Micronutrients,14,FALSE)/D15)*C15</f>
        <v>0</v>
      </c>
      <c r="H15" s="2"/>
      <c r="I15" s="750">
        <f>VLOOKUP(A6,Macronutrients,11,FALSE)*E6+VLOOKUP(A7,Macronutrients,11,FALSE)*E7+VLOOKUP(A8,Macronutrients,11,FALSE)*E8+VLOOKUP(A9,Macronutrients,11,FALSE)*E9+VLOOKUP(A10,Macronutrients,11,FALSE)*E10+VLOOKUP(A11,Macronutrients,11,FALSE)*E11+VLOOKUP(A14,Micronutrients,11,FALSE)*E14+VLOOKUP(A15,Micronutrients,11,FALSE)*E15+VLOOKUP(A16,Micronutrients,11,FALSE)*E16+VLOOKUP(A17,Micronutrients,11,FALSE)*E17+VLOOKUP(A20,Lime,11,FALSE)*E20</f>
        <v>0</v>
      </c>
      <c r="J15" s="750">
        <f>VLOOKUP(A6,Macronutrients,12,FALSE)*E6+VLOOKUP(A7,Macronutrients,12,FALSE)*E7+VLOOKUP(A8,Macronutrients,12,FALSE)*E8+VLOOKUP(A9,Macronutrients,12,FALSE)*E9+VLOOKUP(A10,Macronutrients,12,FALSE)*E10+VLOOKUP(A11,Macronutrients,12,FALSE)*E11+VLOOKUP(A14,Micronutrients,12,FALSE)*E14+VLOOKUP(A15,Micronutrients,12,FALSE)*E15+VLOOKUP(A16,Micronutrients,12,FALSE)*E16+VLOOKUP(A17,Micronutrients,12,FALSE)*E17+VLOOKUP(A20,Lime,12,FALSE)*E20</f>
        <v>0</v>
      </c>
      <c r="K15" s="772">
        <f>VLOOKUP(A6,Macronutrients,13,FALSE)*E6+VLOOKUP(A7,Macronutrients,13,FALSE)*E7+VLOOKUP(A8,Macronutrients,13,FALSE)*E8+VLOOKUP(A9,Macronutrients,13,FALSE)*E9+VLOOKUP(A10,Macronutrients,13,FALSE)*E10+VLOOKUP(A11,Macronutrients,13,FALSE)*E11+VLOOKUP(A14,Micronutrients,13,FALSE)*E14+VLOOKUP(A15,Micronutrients,13,FALSE)*E15+VLOOKUP(A16,Micronutrients,13,FALSE)*E16+VLOOKUP(A17,Micronutrients,13,FALSE)*E17+VLOOKUP(A20,Lime,13,FALSE)*E20</f>
        <v>0</v>
      </c>
      <c r="M15" s="615" t="s">
        <v>13</v>
      </c>
      <c r="N15" s="616" t="str">
        <f>VLOOKUP(M15,Micronutrients,17,FALSE)</f>
        <v>None</v>
      </c>
      <c r="O15" s="617">
        <f>VLOOKUP(M15,Micronutrients,18,FALSE)</f>
        <v>0</v>
      </c>
      <c r="P15" s="616">
        <f>VLOOKUP(M15,Micronutrients,16,FALSE)</f>
        <v>1</v>
      </c>
      <c r="Q15" s="618">
        <v>0</v>
      </c>
      <c r="R15" s="619">
        <f>VLOOKUP(M15,Micronutrients,15,FALSE)</f>
        <v>0</v>
      </c>
      <c r="S15" s="47">
        <f>(Q15*VLOOKUP(M15,Micronutrients,14,FALSE)/P15)*O15</f>
        <v>0</v>
      </c>
      <c r="T15" s="2"/>
      <c r="U15" s="750">
        <f>VLOOKUP(M6,Macronutrients,11,FALSE)*Q6+VLOOKUP(M7,Macronutrients,11,FALSE)*Q7+VLOOKUP(M8,Macronutrients,11,FALSE)*Q8+VLOOKUP(M9,Macronutrients,11,FALSE)*Q9+VLOOKUP(M10,Macronutrients,11,FALSE)*Q10+VLOOKUP(M11,Macronutrients,11,FALSE)*Q11+VLOOKUP(M14,Micronutrients,11,FALSE)*Q14+VLOOKUP(M15,Micronutrients,11,FALSE)*Q15+VLOOKUP(M16,Micronutrients,11,FALSE)*Q16+VLOOKUP(M17,Micronutrients,11,FALSE)*Q17+VLOOKUP(M20,Lime,11,FALSE)*Q20</f>
        <v>0</v>
      </c>
      <c r="V15" s="750">
        <f>VLOOKUP(M6,Macronutrients,12,FALSE)*Q6+VLOOKUP(M7,Macronutrients,12,FALSE)*Q7+VLOOKUP(M8,Macronutrients,12,FALSE)*Q8+VLOOKUP(M9,Macronutrients,12,FALSE)*Q9+VLOOKUP(M10,Macronutrients,12,FALSE)*Q10+VLOOKUP(M11,Macronutrients,12,FALSE)*Q11+VLOOKUP(M14,Micronutrients,12,FALSE)*Q14+VLOOKUP(M15,Micronutrients,12,FALSE)*Q15+VLOOKUP(M16,Micronutrients,12,FALSE)*Q16+VLOOKUP(M17,Micronutrients,12,FALSE)*Q17+VLOOKUP(M20,Lime,12,FALSE)*Q20</f>
        <v>0</v>
      </c>
      <c r="W15" s="772">
        <f>VLOOKUP(M6,Macronutrients,13,FALSE)*Q6+VLOOKUP(M7,Macronutrients,13,FALSE)*Q7+VLOOKUP(M8,Macronutrients,13,FALSE)*Q8+VLOOKUP(M9,Macronutrients,13,FALSE)*Q9+VLOOKUP(M10,Macronutrients,13,FALSE)*Q10+VLOOKUP(M11,Macronutrients,13,FALSE)*Q11+VLOOKUP(M14,Micronutrients,13,FALSE)*Q14+VLOOKUP(M15,Micronutrients,13,FALSE)*Q15+VLOOKUP(M16,Micronutrients,13,FALSE)*Q16+VLOOKUP(M17,Micronutrients,13,FALSE)*Q17+VLOOKUP(M20,Lime,13,FALSE)*Q20</f>
        <v>0</v>
      </c>
      <c r="Y15" s="615" t="s">
        <v>13</v>
      </c>
      <c r="Z15" s="616" t="str">
        <f>VLOOKUP(Y15,Micronutrients,17,FALSE)</f>
        <v>None</v>
      </c>
      <c r="AA15" s="617">
        <f>VLOOKUP(Y15,Micronutrients,18,FALSE)</f>
        <v>0</v>
      </c>
      <c r="AB15" s="616">
        <f>VLOOKUP(Y15,Micronutrients,16,FALSE)</f>
        <v>1</v>
      </c>
      <c r="AC15" s="618">
        <v>0</v>
      </c>
      <c r="AD15" s="619">
        <f>VLOOKUP(Y15,Micronutrients,15,FALSE)</f>
        <v>0</v>
      </c>
      <c r="AE15" s="47">
        <f>(AC15*VLOOKUP(Y15,Micronutrients,14,FALSE)/AB15)*AA15</f>
        <v>0</v>
      </c>
      <c r="AF15" s="2"/>
      <c r="AG15" s="750">
        <f>VLOOKUP(Y6,Macronutrients,11,FALSE)*AC6+VLOOKUP(Y7,Macronutrients,11,FALSE)*AC7+VLOOKUP(Y8,Macronutrients,11,FALSE)*AC8+VLOOKUP(Y9,Macronutrients,11,FALSE)*AC9+VLOOKUP(Y10,Macronutrients,11,FALSE)*AC10+VLOOKUP(Y11,Macronutrients,11,FALSE)*AC11+VLOOKUP(Y14,Micronutrients,11,FALSE)*AC14+VLOOKUP(Y15,Micronutrients,11,FALSE)*AC15+VLOOKUP(Y16,Micronutrients,11,FALSE)*AC16+VLOOKUP(Y17,Micronutrients,11,FALSE)*AC17+VLOOKUP(Y20,Lime,11,FALSE)*AC20</f>
        <v>0</v>
      </c>
      <c r="AH15" s="750">
        <f>VLOOKUP(Y6,Macronutrients,12,FALSE)*AC6+VLOOKUP(Y7,Macronutrients,12,FALSE)*AC7+VLOOKUP(Y8,Macronutrients,12,FALSE)*AC8+VLOOKUP(Y9,Macronutrients,12,FALSE)*AC9+VLOOKUP(Y10,Macronutrients,12,FALSE)*AC10+VLOOKUP(Y11,Macronutrients,12,FALSE)*AC11+VLOOKUP(Y14,Micronutrients,12,FALSE)*AC14+VLOOKUP(Y15,Micronutrients,12,FALSE)*AC15+VLOOKUP(Y16,Micronutrients,12,FALSE)*AC16+VLOOKUP(Y17,Micronutrients,12,FALSE)*AC17+VLOOKUP(Y20,Lime,12,FALSE)*AC20</f>
        <v>0</v>
      </c>
      <c r="AI15" s="772">
        <f>VLOOKUP(Y6,Macronutrients,13,FALSE)*AC6+VLOOKUP(Y7,Macronutrients,13,FALSE)*AC7+VLOOKUP(Y8,Macronutrients,13,FALSE)*AC8+VLOOKUP(Y9,Macronutrients,13,FALSE)*AC9+VLOOKUP(Y10,Macronutrients,13,FALSE)*AC10+VLOOKUP(Y11,Macronutrients,13,FALSE)*AC11+VLOOKUP(Y14,Micronutrients,13,FALSE)*AC14+VLOOKUP(Y15,Micronutrients,13,FALSE)*AC15+VLOOKUP(Y16,Micronutrients,13,FALSE)*AC16+VLOOKUP(Y17,Micronutrients,13,FALSE)*AC17+VLOOKUP(Y20,Lime,13,FALSE)*AC20</f>
        <v>0</v>
      </c>
    </row>
    <row r="16" spans="1:35" s="60" customFormat="1" ht="15.6">
      <c r="A16" s="615" t="s">
        <v>13</v>
      </c>
      <c r="B16" s="616" t="str">
        <f>VLOOKUP(A16,Micronutrients,17,FALSE)</f>
        <v>None</v>
      </c>
      <c r="C16" s="617">
        <f>VLOOKUP(A16,Micronutrients,18,FALSE)</f>
        <v>0</v>
      </c>
      <c r="D16" s="616">
        <f>VLOOKUP(A16,Micronutrients,16,FALSE)</f>
        <v>1</v>
      </c>
      <c r="E16" s="618">
        <v>0</v>
      </c>
      <c r="F16" s="619">
        <f>VLOOKUP(A16,Micronutrients,15,FALSE)</f>
        <v>0</v>
      </c>
      <c r="G16" s="47">
        <f>(E16*VLOOKUP(A16,Micronutrients,14,FALSE)/D16)*C16</f>
        <v>0</v>
      </c>
      <c r="H16" s="2"/>
      <c r="I16" s="773"/>
      <c r="J16" s="773"/>
      <c r="K16" s="749"/>
      <c r="M16" s="615" t="s">
        <v>13</v>
      </c>
      <c r="N16" s="616" t="str">
        <f>VLOOKUP(M16,Micronutrients,17,FALSE)</f>
        <v>None</v>
      </c>
      <c r="O16" s="617">
        <f>VLOOKUP(M16,Micronutrients,18,FALSE)</f>
        <v>0</v>
      </c>
      <c r="P16" s="616">
        <f>VLOOKUP(M16,Micronutrients,16,FALSE)</f>
        <v>1</v>
      </c>
      <c r="Q16" s="618">
        <v>0</v>
      </c>
      <c r="R16" s="619">
        <f>VLOOKUP(M16,Micronutrients,15,FALSE)</f>
        <v>0</v>
      </c>
      <c r="S16" s="47">
        <f>(Q16*VLOOKUP(M16,Micronutrients,14,FALSE)/P16)*O16</f>
        <v>0</v>
      </c>
      <c r="T16" s="2"/>
      <c r="U16" s="2"/>
      <c r="V16" s="2"/>
      <c r="W16" s="58"/>
      <c r="Y16" s="615" t="s">
        <v>13</v>
      </c>
      <c r="Z16" s="616" t="str">
        <f>VLOOKUP(Y16,Micronutrients,17,FALSE)</f>
        <v>None</v>
      </c>
      <c r="AA16" s="617">
        <f>VLOOKUP(Y16,Micronutrients,18,FALSE)</f>
        <v>0</v>
      </c>
      <c r="AB16" s="616">
        <f>VLOOKUP(Y16,Micronutrients,16,FALSE)</f>
        <v>1</v>
      </c>
      <c r="AC16" s="618">
        <v>0</v>
      </c>
      <c r="AD16" s="619">
        <f>VLOOKUP(Y16,Micronutrients,15,FALSE)</f>
        <v>0</v>
      </c>
      <c r="AE16" s="47">
        <f>(AC16*VLOOKUP(Y16,Micronutrients,14,FALSE)/AB16)*AA16</f>
        <v>0</v>
      </c>
      <c r="AF16" s="2"/>
      <c r="AG16" s="2"/>
      <c r="AH16" s="2"/>
      <c r="AI16" s="58"/>
    </row>
    <row r="17" spans="1:35" s="60" customFormat="1" ht="15.6">
      <c r="A17" s="615" t="s">
        <v>13</v>
      </c>
      <c r="B17" s="616" t="str">
        <f>VLOOKUP(A17,Micronutrients,17,FALSE)</f>
        <v>None</v>
      </c>
      <c r="C17" s="617">
        <f>VLOOKUP(A17,Micronutrients,18,FALSE)</f>
        <v>0</v>
      </c>
      <c r="D17" s="616">
        <f>VLOOKUP(A17,Micronutrients,16,FALSE)</f>
        <v>1</v>
      </c>
      <c r="E17" s="618">
        <v>0</v>
      </c>
      <c r="F17" s="619">
        <f>VLOOKUP(A17,Micronutrients,15,FALSE)</f>
        <v>0</v>
      </c>
      <c r="G17" s="47">
        <f>(E17*VLOOKUP(A17,Micronutrients,14,FALSE)/D17)*C17</f>
        <v>0</v>
      </c>
      <c r="H17" s="2"/>
      <c r="I17" s="990" t="s">
        <v>667</v>
      </c>
      <c r="J17" s="990"/>
      <c r="K17" s="991"/>
      <c r="M17" s="615" t="s">
        <v>13</v>
      </c>
      <c r="N17" s="616" t="str">
        <f>VLOOKUP(M17,Micronutrients,17,FALSE)</f>
        <v>None</v>
      </c>
      <c r="O17" s="617">
        <f>VLOOKUP(M17,Micronutrients,18,FALSE)</f>
        <v>0</v>
      </c>
      <c r="P17" s="616">
        <f>VLOOKUP(M17,Micronutrients,16,FALSE)</f>
        <v>1</v>
      </c>
      <c r="Q17" s="618">
        <v>0</v>
      </c>
      <c r="R17" s="619">
        <f>VLOOKUP(M17,Micronutrients,15,FALSE)</f>
        <v>0</v>
      </c>
      <c r="S17" s="47">
        <f>(Q17*VLOOKUP(M17,Micronutrients,14,FALSE)/P17)*O17</f>
        <v>0</v>
      </c>
      <c r="T17" s="2"/>
      <c r="U17" s="990" t="s">
        <v>667</v>
      </c>
      <c r="V17" s="990"/>
      <c r="W17" s="991"/>
      <c r="Y17" s="615" t="s">
        <v>13</v>
      </c>
      <c r="Z17" s="616" t="str">
        <f>VLOOKUP(Y17,Micronutrients,17,FALSE)</f>
        <v>None</v>
      </c>
      <c r="AA17" s="617">
        <f>VLOOKUP(Y17,Micronutrients,18,FALSE)</f>
        <v>0</v>
      </c>
      <c r="AB17" s="616">
        <f>VLOOKUP(Y17,Micronutrients,16,FALSE)</f>
        <v>1</v>
      </c>
      <c r="AC17" s="618">
        <v>0</v>
      </c>
      <c r="AD17" s="619">
        <f>VLOOKUP(Y17,Micronutrients,15,FALSE)</f>
        <v>0</v>
      </c>
      <c r="AE17" s="47">
        <f>(AC17*VLOOKUP(Y17,Micronutrients,14,FALSE)/AB17)*AA17</f>
        <v>0</v>
      </c>
      <c r="AF17" s="2"/>
      <c r="AG17" s="2"/>
      <c r="AH17" s="2"/>
      <c r="AI17" s="58"/>
    </row>
    <row r="18" spans="1:35" s="60" customFormat="1" ht="15.6">
      <c r="A18" s="627"/>
      <c r="B18" s="18"/>
      <c r="C18" s="617"/>
      <c r="D18" s="18"/>
      <c r="E18" s="628"/>
      <c r="F18" s="619"/>
      <c r="G18" s="47"/>
      <c r="H18" s="2"/>
      <c r="I18" s="990"/>
      <c r="J18" s="990"/>
      <c r="K18" s="991"/>
      <c r="M18" s="627"/>
      <c r="N18" s="17"/>
      <c r="O18" s="617"/>
      <c r="P18" s="616"/>
      <c r="Q18" s="628"/>
      <c r="R18" s="619"/>
      <c r="S18" s="47"/>
      <c r="T18" s="2"/>
      <c r="U18" s="990"/>
      <c r="V18" s="990"/>
      <c r="W18" s="991"/>
      <c r="Y18" s="627"/>
      <c r="Z18" s="17"/>
      <c r="AA18" s="617"/>
      <c r="AB18" s="616"/>
      <c r="AC18" s="628"/>
      <c r="AD18" s="619"/>
      <c r="AE18" s="47"/>
      <c r="AF18" s="2"/>
      <c r="AG18" s="2"/>
      <c r="AH18" s="2"/>
      <c r="AI18" s="58"/>
    </row>
    <row r="19" spans="1:35" s="60" customFormat="1" ht="15.6">
      <c r="A19" s="115" t="s">
        <v>760</v>
      </c>
      <c r="B19" s="774"/>
      <c r="C19" s="775"/>
      <c r="D19" s="774"/>
      <c r="E19" s="776"/>
      <c r="F19" s="619"/>
      <c r="G19" s="47"/>
      <c r="H19" s="2"/>
      <c r="I19" s="990"/>
      <c r="J19" s="990"/>
      <c r="K19" s="991"/>
      <c r="M19" s="115" t="s">
        <v>760</v>
      </c>
      <c r="N19" s="774"/>
      <c r="O19" s="775"/>
      <c r="P19" s="774"/>
      <c r="Q19" s="776"/>
      <c r="R19" s="619"/>
      <c r="S19" s="47"/>
      <c r="T19" s="2"/>
      <c r="U19" s="990"/>
      <c r="V19" s="990"/>
      <c r="W19" s="991"/>
      <c r="Y19" s="115" t="s">
        <v>760</v>
      </c>
      <c r="Z19" s="774"/>
      <c r="AA19" s="775"/>
      <c r="AB19" s="774"/>
      <c r="AC19" s="776"/>
      <c r="AD19" s="619"/>
      <c r="AE19" s="47"/>
      <c r="AF19" s="2"/>
      <c r="AG19" s="2"/>
      <c r="AH19" s="2"/>
      <c r="AI19" s="58"/>
    </row>
    <row r="20" spans="1:35" s="60" customFormat="1" ht="15.6">
      <c r="A20" s="386" t="s">
        <v>13</v>
      </c>
      <c r="B20" s="616" t="str">
        <f>VLOOKUP(A20,Lime,17,FALSE)</f>
        <v>None</v>
      </c>
      <c r="C20" s="617">
        <f>VLOOKUP(A20,Lime,18,FALSE)</f>
        <v>0</v>
      </c>
      <c r="D20" s="616">
        <f>VLOOKUP(A20,Lime,16,FALSE)</f>
        <v>1</v>
      </c>
      <c r="E20" s="618">
        <v>0</v>
      </c>
      <c r="F20" s="619">
        <f>VLOOKUP(A20,Lime,15,FALSE)</f>
        <v>0</v>
      </c>
      <c r="G20" s="47">
        <f>(E20*VLOOKUP(A20,Lime,14,FALSE)/D20)*C20</f>
        <v>0</v>
      </c>
      <c r="H20" s="2"/>
      <c r="I20" s="990"/>
      <c r="J20" s="990"/>
      <c r="K20" s="991"/>
      <c r="M20" s="386" t="s">
        <v>13</v>
      </c>
      <c r="N20" s="616" t="str">
        <f>VLOOKUP(M20,Lime,17,FALSE)</f>
        <v>None</v>
      </c>
      <c r="O20" s="617">
        <f>VLOOKUP(M20,Lime,18,FALSE)</f>
        <v>0</v>
      </c>
      <c r="P20" s="616">
        <f>VLOOKUP(M20,Lime,16,FALSE)</f>
        <v>1</v>
      </c>
      <c r="Q20" s="618">
        <v>0</v>
      </c>
      <c r="R20" s="619">
        <f>VLOOKUP(M20,Lime,15,FALSE)</f>
        <v>0</v>
      </c>
      <c r="S20" s="47">
        <f>(Q20*VLOOKUP(M20,Lime,14,FALSE)/P20)*O20</f>
        <v>0</v>
      </c>
      <c r="T20" s="2"/>
      <c r="U20" s="990"/>
      <c r="V20" s="990"/>
      <c r="W20" s="991"/>
      <c r="Y20" s="386" t="s">
        <v>13</v>
      </c>
      <c r="Z20" s="616" t="str">
        <f>VLOOKUP(Y20,Lime,17,FALSE)</f>
        <v>None</v>
      </c>
      <c r="AA20" s="617">
        <f>VLOOKUP(Y20,Lime,18,FALSE)</f>
        <v>0</v>
      </c>
      <c r="AB20" s="616">
        <f>VLOOKUP(Y20,Lime,16,FALSE)</f>
        <v>1</v>
      </c>
      <c r="AC20" s="618">
        <v>0</v>
      </c>
      <c r="AD20" s="619">
        <f>VLOOKUP(Y20,Lime,15,FALSE)</f>
        <v>0</v>
      </c>
      <c r="AE20" s="47">
        <f>(AC20*VLOOKUP(Y20,Lime,14,FALSE)/AB20)*AA20</f>
        <v>0</v>
      </c>
      <c r="AF20" s="2"/>
      <c r="AG20" s="2"/>
      <c r="AH20" s="2"/>
      <c r="AI20" s="58"/>
    </row>
    <row r="21" spans="1:35" s="60" customFormat="1" ht="15.6">
      <c r="A21" s="627"/>
      <c r="B21" s="18"/>
      <c r="C21" s="617"/>
      <c r="D21" s="18"/>
      <c r="E21" s="628"/>
      <c r="F21" s="57"/>
      <c r="G21" s="47"/>
      <c r="H21" s="2"/>
      <c r="I21" s="990"/>
      <c r="J21" s="990"/>
      <c r="K21" s="991"/>
      <c r="M21" s="627"/>
      <c r="N21" s="17"/>
      <c r="O21" s="617"/>
      <c r="P21" s="616"/>
      <c r="Q21" s="628"/>
      <c r="R21" s="619"/>
      <c r="S21" s="47"/>
      <c r="T21" s="2"/>
      <c r="U21" s="990"/>
      <c r="V21" s="990"/>
      <c r="W21" s="991"/>
      <c r="Y21" s="627"/>
      <c r="Z21" s="17"/>
      <c r="AA21" s="617"/>
      <c r="AB21" s="616"/>
      <c r="AC21" s="628"/>
      <c r="AD21" s="619"/>
      <c r="AE21" s="47"/>
      <c r="AF21" s="2"/>
      <c r="AG21" s="2"/>
      <c r="AH21" s="2"/>
      <c r="AI21" s="58"/>
    </row>
    <row r="22" spans="1:35" s="60" customFormat="1" ht="15.6">
      <c r="A22" s="115" t="s">
        <v>668</v>
      </c>
      <c r="B22" s="774"/>
      <c r="C22" s="775"/>
      <c r="D22" s="774"/>
      <c r="E22" s="776"/>
      <c r="F22" s="116"/>
      <c r="G22" s="116"/>
      <c r="H22" s="2"/>
      <c r="I22" s="990"/>
      <c r="J22" s="990"/>
      <c r="K22" s="991"/>
      <c r="M22" s="115" t="s">
        <v>668</v>
      </c>
      <c r="N22" s="774"/>
      <c r="O22" s="775"/>
      <c r="P22" s="774"/>
      <c r="Q22" s="776"/>
      <c r="R22" s="116"/>
      <c r="S22" s="116"/>
      <c r="T22" s="2"/>
      <c r="U22" s="990"/>
      <c r="V22" s="990"/>
      <c r="W22" s="991"/>
      <c r="Y22" s="115" t="s">
        <v>668</v>
      </c>
      <c r="Z22" s="774"/>
      <c r="AA22" s="775"/>
      <c r="AB22" s="774"/>
      <c r="AC22" s="776"/>
      <c r="AD22" s="116"/>
      <c r="AE22" s="116"/>
      <c r="AF22" s="2"/>
      <c r="AG22" s="2"/>
      <c r="AH22" s="2"/>
      <c r="AI22" s="58"/>
    </row>
    <row r="23" spans="1:35" s="60" customFormat="1" ht="15.6">
      <c r="A23" s="386" t="s">
        <v>13</v>
      </c>
      <c r="B23" s="616" t="str">
        <f>VLOOKUP(A23,NitrogenStabilizers,17,FALSE)</f>
        <v>None</v>
      </c>
      <c r="C23" s="617">
        <f>VLOOKUP(A23,NitrogenStabilizers,18,FALSE)</f>
        <v>0</v>
      </c>
      <c r="D23" s="616">
        <f>VLOOKUP(A23,NitrogenStabilizers,16,FALSE)</f>
        <v>1</v>
      </c>
      <c r="E23" s="618">
        <v>0</v>
      </c>
      <c r="F23" s="619">
        <f>VLOOKUP(A23,NitrogenStabilizers,15,FALSE)</f>
        <v>0</v>
      </c>
      <c r="G23" s="47">
        <f>(E23*VLOOKUP(A23,NitrogenStabilizers,14,FALSE)/D23)*C23</f>
        <v>0</v>
      </c>
      <c r="H23" s="2"/>
      <c r="I23" s="990"/>
      <c r="J23" s="990"/>
      <c r="K23" s="991"/>
      <c r="M23" s="386" t="s">
        <v>13</v>
      </c>
      <c r="N23" s="616" t="str">
        <f>VLOOKUP(M23,NitrogenStabilizers,17,FALSE)</f>
        <v>None</v>
      </c>
      <c r="O23" s="617">
        <f>VLOOKUP(M23,NitrogenStabilizers,18,FALSE)</f>
        <v>0</v>
      </c>
      <c r="P23" s="616">
        <f>VLOOKUP(M23,NitrogenStabilizers,16,FALSE)</f>
        <v>1</v>
      </c>
      <c r="Q23" s="618">
        <v>0</v>
      </c>
      <c r="R23" s="619">
        <f>VLOOKUP(M23,NitrogenStabilizers,15,FALSE)</f>
        <v>0</v>
      </c>
      <c r="S23" s="47">
        <f>(Q23*VLOOKUP(M23,NitrogenStabilizers,14,FALSE)/P23)*O23</f>
        <v>0</v>
      </c>
      <c r="T23" s="2"/>
      <c r="U23" s="990"/>
      <c r="V23" s="990"/>
      <c r="W23" s="991"/>
      <c r="Y23" s="386" t="s">
        <v>13</v>
      </c>
      <c r="Z23" s="616" t="str">
        <f>VLOOKUP(Y23,NitrogenStabilizers,17,FALSE)</f>
        <v>None</v>
      </c>
      <c r="AA23" s="617">
        <f>VLOOKUP(Y23,NitrogenStabilizers,18,FALSE)</f>
        <v>0</v>
      </c>
      <c r="AB23" s="616">
        <f>VLOOKUP(Y23,NitrogenStabilizers,16,FALSE)</f>
        <v>1</v>
      </c>
      <c r="AC23" s="618">
        <v>0</v>
      </c>
      <c r="AD23" s="619">
        <f>VLOOKUP(Y23,NitrogenStabilizers,15,FALSE)</f>
        <v>0</v>
      </c>
      <c r="AE23" s="47">
        <f>(AC23*VLOOKUP(Y23,NitrogenStabilizers,14,FALSE)/AB23)*AA23</f>
        <v>0</v>
      </c>
      <c r="AF23" s="2"/>
      <c r="AG23" s="2"/>
      <c r="AH23" s="2"/>
      <c r="AI23" s="58"/>
    </row>
    <row r="24" spans="1:35" s="60" customFormat="1" ht="15.6">
      <c r="A24" s="386" t="s">
        <v>13</v>
      </c>
      <c r="B24" s="616" t="str">
        <f>VLOOKUP(A24,NitrogenStabilizers,17,FALSE)</f>
        <v>None</v>
      </c>
      <c r="C24" s="617">
        <f>VLOOKUP(A24,NitrogenStabilizers,18,FALSE)</f>
        <v>0</v>
      </c>
      <c r="D24" s="616">
        <f>VLOOKUP(A24,NitrogenStabilizers,16,FALSE)</f>
        <v>1</v>
      </c>
      <c r="E24" s="618">
        <v>0</v>
      </c>
      <c r="F24" s="619">
        <f>VLOOKUP(A24,NitrogenStabilizers,15,FALSE)</f>
        <v>0</v>
      </c>
      <c r="G24" s="47">
        <f>(E24*VLOOKUP(A24,NitrogenStabilizers,14,FALSE)/D24)*C24</f>
        <v>0</v>
      </c>
      <c r="H24" s="2"/>
      <c r="I24" s="2"/>
      <c r="J24" s="2"/>
      <c r="K24" s="630" t="s">
        <v>429</v>
      </c>
      <c r="L24" s="19"/>
      <c r="M24" s="386" t="s">
        <v>13</v>
      </c>
      <c r="N24" s="616" t="str">
        <f>VLOOKUP(M24,NitrogenStabilizers,17,FALSE)</f>
        <v>None</v>
      </c>
      <c r="O24" s="617">
        <f>VLOOKUP(M24,NitrogenStabilizers,18,FALSE)</f>
        <v>0</v>
      </c>
      <c r="P24" s="616">
        <f>VLOOKUP(M24,NitrogenStabilizers,16,FALSE)</f>
        <v>1</v>
      </c>
      <c r="Q24" s="618">
        <v>0</v>
      </c>
      <c r="R24" s="619">
        <f>VLOOKUP(M24,NitrogenStabilizers,15,FALSE)</f>
        <v>0</v>
      </c>
      <c r="S24" s="47">
        <f>(Q24*VLOOKUP(M24,NitrogenStabilizers,14,FALSE)/P24)*O24</f>
        <v>0</v>
      </c>
      <c r="T24" s="2"/>
      <c r="U24" s="2"/>
      <c r="V24" s="2"/>
      <c r="W24" s="630" t="s">
        <v>429</v>
      </c>
      <c r="Y24" s="386" t="s">
        <v>13</v>
      </c>
      <c r="Z24" s="616" t="str">
        <f>VLOOKUP(Y24,NitrogenStabilizers,17,FALSE)</f>
        <v>None</v>
      </c>
      <c r="AA24" s="617">
        <f>VLOOKUP(Y24,NitrogenStabilizers,18,FALSE)</f>
        <v>0</v>
      </c>
      <c r="AB24" s="616">
        <f>VLOOKUP(Y24,NitrogenStabilizers,16,FALSE)</f>
        <v>1</v>
      </c>
      <c r="AC24" s="618">
        <v>0</v>
      </c>
      <c r="AD24" s="619">
        <f>VLOOKUP(Y24,NitrogenStabilizers,15,FALSE)</f>
        <v>0</v>
      </c>
      <c r="AE24" s="47">
        <f>(AC24*VLOOKUP(Y24,NitrogenStabilizers,14,FALSE)/AB24)*AA24</f>
        <v>0</v>
      </c>
      <c r="AF24" s="2"/>
      <c r="AG24" s="2"/>
      <c r="AH24" s="2"/>
      <c r="AI24" s="630" t="s">
        <v>429</v>
      </c>
    </row>
    <row r="25" spans="1:35" s="60" customFormat="1" ht="16.2" thickBot="1">
      <c r="A25" s="631" t="s">
        <v>144</v>
      </c>
      <c r="B25" s="632"/>
      <c r="C25" s="632"/>
      <c r="D25" s="632"/>
      <c r="E25" s="633"/>
      <c r="F25" s="632"/>
      <c r="G25" s="634">
        <f>SUM(G6:G24)</f>
        <v>0</v>
      </c>
      <c r="H25" s="2"/>
      <c r="I25" s="2"/>
      <c r="J25" s="2"/>
      <c r="K25" s="630" t="s">
        <v>430</v>
      </c>
      <c r="L25" s="19"/>
      <c r="M25" s="631" t="s">
        <v>144</v>
      </c>
      <c r="N25" s="632"/>
      <c r="O25" s="632"/>
      <c r="P25" s="632"/>
      <c r="Q25" s="633"/>
      <c r="R25" s="632"/>
      <c r="S25" s="634">
        <f>SUM(S6:S24)</f>
        <v>0</v>
      </c>
      <c r="T25" s="2"/>
      <c r="U25" s="2"/>
      <c r="V25" s="2"/>
      <c r="W25" s="630" t="s">
        <v>430</v>
      </c>
      <c r="Y25" s="631" t="s">
        <v>144</v>
      </c>
      <c r="Z25" s="632"/>
      <c r="AA25" s="632"/>
      <c r="AB25" s="632"/>
      <c r="AC25" s="633"/>
      <c r="AD25" s="632"/>
      <c r="AE25" s="634">
        <f>SUM(AE6:AE24)</f>
        <v>0</v>
      </c>
      <c r="AF25" s="2"/>
      <c r="AG25" s="2"/>
      <c r="AH25" s="2"/>
      <c r="AI25" s="630" t="s">
        <v>430</v>
      </c>
    </row>
    <row r="26" spans="1:35" s="60" customFormat="1" ht="16.2" customHeight="1" thickTop="1">
      <c r="A26" s="575"/>
      <c r="B26" s="132"/>
      <c r="C26" s="132"/>
      <c r="D26" s="132"/>
      <c r="E26" s="132"/>
      <c r="F26" s="132"/>
      <c r="G26" s="130"/>
      <c r="H26" s="2"/>
      <c r="I26" s="2"/>
      <c r="J26" s="2"/>
      <c r="K26" s="635" t="s">
        <v>428</v>
      </c>
      <c r="L26" s="992"/>
      <c r="M26" s="575"/>
      <c r="N26" s="132"/>
      <c r="O26" s="132"/>
      <c r="P26" s="132"/>
      <c r="Q26" s="132"/>
      <c r="R26" s="132"/>
      <c r="S26" s="130"/>
      <c r="T26" s="2"/>
      <c r="U26" s="2"/>
      <c r="V26" s="2"/>
      <c r="W26" s="635" t="s">
        <v>428</v>
      </c>
      <c r="Y26" s="575"/>
      <c r="Z26" s="132"/>
      <c r="AA26" s="132"/>
      <c r="AB26" s="132"/>
      <c r="AC26" s="132"/>
      <c r="AD26" s="132"/>
      <c r="AE26" s="130"/>
      <c r="AF26" s="2"/>
      <c r="AG26" s="2"/>
      <c r="AH26" s="2"/>
      <c r="AI26" s="635" t="s">
        <v>428</v>
      </c>
    </row>
    <row r="27" spans="1:35" s="60" customFormat="1" ht="16.2" customHeight="1" thickBot="1">
      <c r="A27" s="21"/>
      <c r="B27" s="2"/>
      <c r="C27" s="2"/>
      <c r="D27" s="2"/>
      <c r="E27" s="2"/>
      <c r="F27" s="2"/>
      <c r="G27" s="2"/>
      <c r="H27" s="2"/>
      <c r="I27" s="2"/>
      <c r="J27" s="2"/>
      <c r="K27" s="636"/>
      <c r="L27" s="992"/>
      <c r="M27" s="21"/>
      <c r="N27" s="2"/>
      <c r="O27" s="2"/>
      <c r="P27" s="2"/>
      <c r="Q27" s="2"/>
      <c r="R27" s="2"/>
      <c r="S27" s="2"/>
      <c r="T27" s="2"/>
      <c r="U27" s="2"/>
      <c r="V27" s="2"/>
      <c r="W27" s="636"/>
      <c r="X27" s="992"/>
      <c r="Y27" s="637"/>
      <c r="Z27" s="2"/>
      <c r="AA27" s="2"/>
      <c r="AB27" s="2"/>
      <c r="AC27" s="2"/>
      <c r="AD27" s="2"/>
      <c r="AE27" s="2"/>
      <c r="AF27" s="2"/>
      <c r="AG27" s="2"/>
      <c r="AH27" s="2"/>
      <c r="AI27" s="636"/>
    </row>
    <row r="28" spans="1:35" s="60" customFormat="1" ht="16.2" thickBot="1">
      <c r="A28" s="981" t="s">
        <v>127</v>
      </c>
      <c r="B28" s="982"/>
      <c r="C28" s="982"/>
      <c r="D28" s="982"/>
      <c r="E28" s="982"/>
      <c r="F28" s="982"/>
      <c r="G28" s="982"/>
      <c r="H28" s="982"/>
      <c r="I28" s="982"/>
      <c r="J28" s="982"/>
      <c r="K28" s="983"/>
      <c r="M28" s="981" t="s">
        <v>127</v>
      </c>
      <c r="N28" s="982"/>
      <c r="O28" s="982"/>
      <c r="P28" s="982"/>
      <c r="Q28" s="982"/>
      <c r="R28" s="982"/>
      <c r="S28" s="982"/>
      <c r="T28" s="982"/>
      <c r="U28" s="982"/>
      <c r="V28" s="982"/>
      <c r="W28" s="983"/>
      <c r="X28" s="992"/>
      <c r="Y28" s="981" t="s">
        <v>127</v>
      </c>
      <c r="Z28" s="982"/>
      <c r="AA28" s="982"/>
      <c r="AB28" s="982"/>
      <c r="AC28" s="982"/>
      <c r="AD28" s="982"/>
      <c r="AE28" s="982"/>
      <c r="AF28" s="982"/>
      <c r="AG28" s="982"/>
      <c r="AH28" s="982"/>
      <c r="AI28" s="983"/>
    </row>
    <row r="29" spans="1:35" s="60" customFormat="1" ht="31.2">
      <c r="A29" s="36" t="s">
        <v>140</v>
      </c>
      <c r="B29" s="37" t="s">
        <v>118</v>
      </c>
      <c r="C29" s="38" t="s">
        <v>119</v>
      </c>
      <c r="D29" s="39" t="s">
        <v>12</v>
      </c>
      <c r="E29" s="39" t="s">
        <v>120</v>
      </c>
      <c r="F29" s="37" t="s">
        <v>11</v>
      </c>
      <c r="G29" s="39" t="s">
        <v>121</v>
      </c>
      <c r="H29" s="2"/>
      <c r="I29" s="2"/>
      <c r="J29" s="2"/>
      <c r="K29" s="58"/>
      <c r="L29" s="2"/>
      <c r="M29" s="36" t="s">
        <v>140</v>
      </c>
      <c r="N29" s="37" t="s">
        <v>118</v>
      </c>
      <c r="O29" s="38" t="s">
        <v>119</v>
      </c>
      <c r="P29" s="39" t="s">
        <v>12</v>
      </c>
      <c r="Q29" s="39" t="s">
        <v>120</v>
      </c>
      <c r="R29" s="37" t="s">
        <v>11</v>
      </c>
      <c r="S29" s="39" t="s">
        <v>121</v>
      </c>
      <c r="T29" s="2"/>
      <c r="U29" s="2"/>
      <c r="V29" s="2"/>
      <c r="W29" s="58"/>
      <c r="X29" s="2"/>
      <c r="Y29" s="36" t="s">
        <v>140</v>
      </c>
      <c r="Z29" s="37" t="s">
        <v>118</v>
      </c>
      <c r="AA29" s="38" t="s">
        <v>119</v>
      </c>
      <c r="AB29" s="39" t="s">
        <v>12</v>
      </c>
      <c r="AC29" s="39" t="s">
        <v>120</v>
      </c>
      <c r="AD29" s="37" t="s">
        <v>11</v>
      </c>
      <c r="AE29" s="39" t="s">
        <v>121</v>
      </c>
      <c r="AF29" s="2"/>
      <c r="AG29" s="2"/>
      <c r="AH29" s="2"/>
      <c r="AI29" s="58"/>
    </row>
    <row r="30" spans="1:35" s="60" customFormat="1" ht="15.6">
      <c r="A30" s="115" t="s">
        <v>758</v>
      </c>
      <c r="B30" s="57"/>
      <c r="C30" s="771"/>
      <c r="D30" s="45"/>
      <c r="E30" s="54" t="s">
        <v>146</v>
      </c>
      <c r="F30" s="50"/>
      <c r="G30" s="47"/>
      <c r="H30" s="2"/>
      <c r="I30" s="642" t="s">
        <v>108</v>
      </c>
      <c r="J30" s="642" t="s">
        <v>109</v>
      </c>
      <c r="K30" s="643" t="s">
        <v>110</v>
      </c>
      <c r="L30" s="2"/>
      <c r="M30" s="115" t="s">
        <v>758</v>
      </c>
      <c r="N30" s="57"/>
      <c r="O30" s="771"/>
      <c r="P30" s="771"/>
      <c r="Q30" s="117" t="s">
        <v>146</v>
      </c>
      <c r="R30" s="50"/>
      <c r="S30" s="47"/>
      <c r="T30" s="2"/>
      <c r="U30" s="642" t="s">
        <v>108</v>
      </c>
      <c r="V30" s="642" t="s">
        <v>109</v>
      </c>
      <c r="W30" s="643" t="s">
        <v>110</v>
      </c>
      <c r="X30" s="61"/>
      <c r="Y30" s="115" t="s">
        <v>758</v>
      </c>
      <c r="Z30" s="57"/>
      <c r="AA30" s="771"/>
      <c r="AB30" s="771"/>
      <c r="AC30" s="117" t="s">
        <v>146</v>
      </c>
      <c r="AD30" s="50"/>
      <c r="AE30" s="47"/>
      <c r="AF30" s="2"/>
      <c r="AG30" s="642" t="s">
        <v>108</v>
      </c>
      <c r="AH30" s="642" t="s">
        <v>109</v>
      </c>
      <c r="AI30" s="643" t="s">
        <v>110</v>
      </c>
    </row>
    <row r="31" spans="1:35" s="60" customFormat="1" ht="15.6">
      <c r="A31" s="615" t="s">
        <v>13</v>
      </c>
      <c r="B31" s="616" t="str">
        <f t="shared" ref="B31:B36" si="15">VLOOKUP(A31,Macronutrients,17,FALSE)</f>
        <v>None</v>
      </c>
      <c r="C31" s="617">
        <f t="shared" ref="C31:C36" si="16">VLOOKUP(A31,Macronutrients,18,FALSE)</f>
        <v>0</v>
      </c>
      <c r="D31" s="616">
        <f t="shared" ref="D31:D36" si="17">VLOOKUP(A31,Macronutrients,16,FALSE)</f>
        <v>1</v>
      </c>
      <c r="E31" s="618">
        <v>0</v>
      </c>
      <c r="F31" s="619">
        <f t="shared" ref="F31:F36" si="18">VLOOKUP(A31,Macronutrients,15,FALSE)</f>
        <v>0</v>
      </c>
      <c r="G31" s="47">
        <f t="shared" ref="G31:G36" si="19">(E31*VLOOKUP(A31,Macronutrients,14,FALSE)/D31)*C31</f>
        <v>0</v>
      </c>
      <c r="H31" s="2"/>
      <c r="I31" s="750">
        <f>VLOOKUP(A31,Macronutrients,2,FALSE)*E31+VLOOKUP(A32,Macronutrients,2,FALSE)*E32+VLOOKUP(A33,Macronutrients,2,FALSE)*E33+VLOOKUP(A34,Macronutrients,2,FALSE)*E34+VLOOKUP(A35,Macronutrients,2,FALSE)*E35+VLOOKUP(A36,Macronutrients,2,FALSE)*E36+VLOOKUP(A39,Micronutrients,2,FALSE)*E39+VLOOKUP(A40,Micronutrients,2,FALSE)*E40+VLOOKUP(A41,Micronutrients,2,FALSE)*E41+VLOOKUP(A42,Micronutrients,2,FALSE)*E42</f>
        <v>0</v>
      </c>
      <c r="J31" s="621">
        <f>VLOOKUP(A31,Macronutrients,3,FALSE)*E31+VLOOKUP(A32,Macronutrients,3,FALSE)*E32+VLOOKUP(A33,Macronutrients,3,FALSE)*E33+VLOOKUP(A34,Macronutrients,3,FALSE)*E34+VLOOKUP(A35,Macronutrients,3,FALSE)*E35+VLOOKUP(A36,Macronutrients,3,FALSE)*E36+VLOOKUP(A39,Micronutrients,3,FALSE)*E39+VLOOKUP(A40,Micronutrients,3,FALSE)*E40+VLOOKUP(A41,Micronutrients,3,FALSE)*E41+VLOOKUP(A42,Micronutrients,3,FALSE)*E42</f>
        <v>0</v>
      </c>
      <c r="K31" s="622">
        <f>VLOOKUP(A31,Macronutrients,4,FALSE)*E31+VLOOKUP(A32,Macronutrients,4,FALSE)*E32+VLOOKUP(A33,Macronutrients,4,FALSE)*E33+VLOOKUP(A34,Macronutrients,4,FALSE)*E34+VLOOKUP(A35,Macronutrients,4,FALSE)*E35+VLOOKUP(A36,Macronutrients,4,FALSE)*E36+VLOOKUP(A39,Micronutrients,4,FALSE)*E39+VLOOKUP(A40,Micronutrients,4,FALSE)*E40+VLOOKUP(A41,Micronutrients,4,FALSE)*E41+VLOOKUP(A42,Micronutrients,4,FALSE)*E42</f>
        <v>0</v>
      </c>
      <c r="M31" s="615" t="s">
        <v>13</v>
      </c>
      <c r="N31" s="616" t="str">
        <f t="shared" ref="N31:N36" si="20">VLOOKUP(M31,Macronutrients,17,FALSE)</f>
        <v>None</v>
      </c>
      <c r="O31" s="617">
        <f t="shared" ref="O31:O36" si="21">VLOOKUP(M31,Macronutrients,18,FALSE)</f>
        <v>0</v>
      </c>
      <c r="P31" s="616">
        <f t="shared" ref="P31:P36" si="22">VLOOKUP(M31,Macronutrients,16,FALSE)</f>
        <v>1</v>
      </c>
      <c r="Q31" s="618">
        <v>0</v>
      </c>
      <c r="R31" s="619">
        <f t="shared" ref="R31:R36" si="23">VLOOKUP(M31,Macronutrients,15,FALSE)</f>
        <v>0</v>
      </c>
      <c r="S31" s="47">
        <f t="shared" ref="S31:S36" si="24">(Q31*VLOOKUP(M31,Macronutrients,14,FALSE)/P31)*O31</f>
        <v>0</v>
      </c>
      <c r="T31" s="2"/>
      <c r="U31" s="621">
        <f>VLOOKUP(M31,Macronutrients,2,FALSE)*Q31+VLOOKUP(M32,Macronutrients,2,FALSE)*Q32+VLOOKUP(M33,Macronutrients,2,FALSE)*Q33+VLOOKUP(M34,Macronutrients,2,FALSE)*Q34+VLOOKUP(M35,Macronutrients,2,FALSE)*Q35+VLOOKUP(M36,Macronutrients,2,FALSE)*Q36+VLOOKUP(M39,Micronutrients,2,FALSE)*Q39+VLOOKUP(M40,Micronutrients,2,FALSE)*Q40+VLOOKUP(M41,Micronutrients,2,FALSE)*Q41+VLOOKUP(M42,Micronutrients,2,FALSE)*Q42</f>
        <v>0</v>
      </c>
      <c r="V31" s="621">
        <f>VLOOKUP(M31,Macronutrients,3,FALSE)*Q31+VLOOKUP(M32,Macronutrients,3,FALSE)*Q32+VLOOKUP(M33,Macronutrients,3,FALSE)*Q33+VLOOKUP(M34,Macronutrients,3,FALSE)*Q34+VLOOKUP(M35,Macronutrients,3,FALSE)*Q35+VLOOKUP(M36,Macronutrients,3,FALSE)*Q36+VLOOKUP(M39,Micronutrients,3,FALSE)*Q39+VLOOKUP(M40,Micronutrients,3,FALSE)*Q40+VLOOKUP(M41,Micronutrients,3,FALSE)*Q41+VLOOKUP(M42,Micronutrients,3,FALSE)*Q42</f>
        <v>0</v>
      </c>
      <c r="W31" s="622">
        <f>VLOOKUP(M31,Macronutrients,4,FALSE)*Q31+VLOOKUP(M32,Macronutrients,4,FALSE)*Q32+VLOOKUP(M33,Macronutrients,4,FALSE)*Q33+VLOOKUP(M34,Macronutrients,4,FALSE)*Q34+VLOOKUP(M35,Macronutrients,4,FALSE)*Q35+VLOOKUP(M36,Macronutrients,4,FALSE)*Q36+VLOOKUP(M39,Micronutrients,4,FALSE)*Q39+VLOOKUP(M40,Micronutrients,4,FALSE)*Q40+VLOOKUP(M41,Micronutrients,4,FALSE)*Q41+VLOOKUP(M42,Micronutrients,4,FALSE)*Q42</f>
        <v>0</v>
      </c>
      <c r="X31" s="623"/>
      <c r="Y31" s="615" t="s">
        <v>13</v>
      </c>
      <c r="Z31" s="616" t="str">
        <f t="shared" ref="Z31:Z36" si="25">VLOOKUP(Y31,Macronutrients,17,FALSE)</f>
        <v>None</v>
      </c>
      <c r="AA31" s="617">
        <f t="shared" ref="AA31:AA36" si="26">VLOOKUP(Y31,Macronutrients,18,FALSE)</f>
        <v>0</v>
      </c>
      <c r="AB31" s="616">
        <f t="shared" ref="AB31:AB36" si="27">VLOOKUP(Y31,Macronutrients,16,FALSE)</f>
        <v>1</v>
      </c>
      <c r="AC31" s="618">
        <v>0</v>
      </c>
      <c r="AD31" s="619">
        <f t="shared" ref="AD31:AD36" si="28">VLOOKUP(Y31,Macronutrients,15,FALSE)</f>
        <v>0</v>
      </c>
      <c r="AE31" s="47">
        <f t="shared" ref="AE31:AE36" si="29">(AC31*VLOOKUP(Y31,Macronutrients,14,FALSE)/AB31)*AA31</f>
        <v>0</v>
      </c>
      <c r="AF31" s="2"/>
      <c r="AG31" s="621">
        <f>VLOOKUP(Y31,Macronutrients,2,FALSE)*AC31+VLOOKUP(Y32,Macronutrients,2,FALSE)*AC32+VLOOKUP(Y33,Macronutrients,2,FALSE)*AC33+VLOOKUP(Y34,Macronutrients,2,FALSE)*AC34+VLOOKUP(Y35,Macronutrients,2,FALSE)*AC35+VLOOKUP(Y36,Macronutrients,2,FALSE)*AC36+VLOOKUP(Y39,Micronutrients,2,FALSE)*AC39+VLOOKUP(Y40,Micronutrients,2,FALSE)*AC40+VLOOKUP(Y41,Micronutrients,2,FALSE)*AC41+VLOOKUP(Y42,Micronutrients,2,FALSE)*AC42</f>
        <v>0</v>
      </c>
      <c r="AH31" s="621">
        <f>VLOOKUP(Y31,Macronutrients,3,FALSE)*AC31+VLOOKUP(Y32,Macronutrients,3,FALSE)*AC32+VLOOKUP(Y33,Macronutrients,3,FALSE)*AC33+VLOOKUP(Y34,Macronutrients,3,FALSE)*AC34+VLOOKUP(Y35,Macronutrients,3,FALSE)*AC35+VLOOKUP(Y36,Macronutrients,3,FALSE)*AC36+VLOOKUP(Y39,Micronutrients,3,FALSE)*AC39+VLOOKUP(Y40,Micronutrients,3,FALSE)*AC40+VLOOKUP(Y41,Micronutrients,3,FALSE)*AC41+VLOOKUP(Y42,Micronutrients,3,FALSE)*AC42</f>
        <v>0</v>
      </c>
      <c r="AI31" s="622">
        <f>VLOOKUP(Y31,Macronutrients,4,FALSE)*AC31+VLOOKUP(Y32,Macronutrients,4,FALSE)*AC32+VLOOKUP(Y33,Macronutrients,4,FALSE)*AC33+VLOOKUP(Y34,Macronutrients,4,FALSE)*AC34+VLOOKUP(Y35,Macronutrients,4,FALSE)*AC35+VLOOKUP(Y36,Macronutrients,4,FALSE)*AC36+VLOOKUP(Y39,Micronutrients,4,FALSE)*AC39+VLOOKUP(Y40,Micronutrients,4,FALSE)*AC40+VLOOKUP(Y41,Micronutrients,4,FALSE)*AC41+VLOOKUP(Y42,Micronutrients,4,FALSE)*AC42</f>
        <v>0</v>
      </c>
    </row>
    <row r="32" spans="1:35" s="60" customFormat="1" ht="15.6">
      <c r="A32" s="615" t="s">
        <v>13</v>
      </c>
      <c r="B32" s="616" t="str">
        <f t="shared" si="15"/>
        <v>None</v>
      </c>
      <c r="C32" s="617">
        <f t="shared" si="16"/>
        <v>0</v>
      </c>
      <c r="D32" s="616">
        <f t="shared" si="17"/>
        <v>1</v>
      </c>
      <c r="E32" s="618">
        <v>0</v>
      </c>
      <c r="F32" s="619">
        <f t="shared" si="18"/>
        <v>0</v>
      </c>
      <c r="G32" s="47">
        <f t="shared" si="19"/>
        <v>0</v>
      </c>
      <c r="H32" s="2"/>
      <c r="I32" s="624"/>
      <c r="J32" s="624"/>
      <c r="K32" s="625"/>
      <c r="M32" s="615" t="s">
        <v>13</v>
      </c>
      <c r="N32" s="616" t="str">
        <f t="shared" si="20"/>
        <v>None</v>
      </c>
      <c r="O32" s="617">
        <f t="shared" si="21"/>
        <v>0</v>
      </c>
      <c r="P32" s="616">
        <f t="shared" si="22"/>
        <v>1</v>
      </c>
      <c r="Q32" s="618">
        <v>0</v>
      </c>
      <c r="R32" s="619">
        <f t="shared" si="23"/>
        <v>0</v>
      </c>
      <c r="S32" s="47">
        <f t="shared" si="24"/>
        <v>0</v>
      </c>
      <c r="T32" s="2"/>
      <c r="U32" s="624"/>
      <c r="V32" s="624"/>
      <c r="W32" s="625"/>
      <c r="X32" s="217"/>
      <c r="Y32" s="615" t="s">
        <v>13</v>
      </c>
      <c r="Z32" s="616" t="str">
        <f t="shared" si="25"/>
        <v>None</v>
      </c>
      <c r="AA32" s="617">
        <f t="shared" si="26"/>
        <v>0</v>
      </c>
      <c r="AB32" s="616">
        <f t="shared" si="27"/>
        <v>1</v>
      </c>
      <c r="AC32" s="618">
        <v>0</v>
      </c>
      <c r="AD32" s="619">
        <f t="shared" si="28"/>
        <v>0</v>
      </c>
      <c r="AE32" s="47">
        <f t="shared" si="29"/>
        <v>0</v>
      </c>
      <c r="AF32" s="2"/>
      <c r="AG32" s="624"/>
      <c r="AH32" s="624"/>
      <c r="AI32" s="625"/>
    </row>
    <row r="33" spans="1:35" s="60" customFormat="1" ht="15.6">
      <c r="A33" s="615" t="s">
        <v>13</v>
      </c>
      <c r="B33" s="616" t="str">
        <f t="shared" si="15"/>
        <v>None</v>
      </c>
      <c r="C33" s="617">
        <f t="shared" si="16"/>
        <v>0</v>
      </c>
      <c r="D33" s="616">
        <f t="shared" si="17"/>
        <v>1</v>
      </c>
      <c r="E33" s="618">
        <v>0</v>
      </c>
      <c r="F33" s="619">
        <f t="shared" si="18"/>
        <v>0</v>
      </c>
      <c r="G33" s="47">
        <f t="shared" si="19"/>
        <v>0</v>
      </c>
      <c r="H33" s="2"/>
      <c r="I33" s="642" t="s">
        <v>111</v>
      </c>
      <c r="J33" s="642" t="s">
        <v>112</v>
      </c>
      <c r="K33" s="643" t="s">
        <v>113</v>
      </c>
      <c r="M33" s="615" t="s">
        <v>13</v>
      </c>
      <c r="N33" s="616" t="str">
        <f t="shared" si="20"/>
        <v>None</v>
      </c>
      <c r="O33" s="617">
        <f t="shared" si="21"/>
        <v>0</v>
      </c>
      <c r="P33" s="616">
        <f t="shared" si="22"/>
        <v>1</v>
      </c>
      <c r="Q33" s="618">
        <v>0</v>
      </c>
      <c r="R33" s="619">
        <f t="shared" si="23"/>
        <v>0</v>
      </c>
      <c r="S33" s="47">
        <f t="shared" si="24"/>
        <v>0</v>
      </c>
      <c r="T33" s="2"/>
      <c r="U33" s="642" t="s">
        <v>111</v>
      </c>
      <c r="V33" s="642" t="s">
        <v>112</v>
      </c>
      <c r="W33" s="643" t="s">
        <v>113</v>
      </c>
      <c r="X33" s="626"/>
      <c r="Y33" s="615" t="s">
        <v>13</v>
      </c>
      <c r="Z33" s="616" t="str">
        <f t="shared" si="25"/>
        <v>None</v>
      </c>
      <c r="AA33" s="617">
        <f t="shared" si="26"/>
        <v>0</v>
      </c>
      <c r="AB33" s="616">
        <f t="shared" si="27"/>
        <v>1</v>
      </c>
      <c r="AC33" s="618">
        <v>0</v>
      </c>
      <c r="AD33" s="619">
        <f t="shared" si="28"/>
        <v>0</v>
      </c>
      <c r="AE33" s="47">
        <f t="shared" si="29"/>
        <v>0</v>
      </c>
      <c r="AF33" s="2"/>
      <c r="AG33" s="642" t="s">
        <v>111</v>
      </c>
      <c r="AH33" s="642" t="s">
        <v>112</v>
      </c>
      <c r="AI33" s="643" t="s">
        <v>113</v>
      </c>
    </row>
    <row r="34" spans="1:35" s="60" customFormat="1" ht="15.6">
      <c r="A34" s="615" t="s">
        <v>13</v>
      </c>
      <c r="B34" s="616" t="str">
        <f t="shared" si="15"/>
        <v>None</v>
      </c>
      <c r="C34" s="617">
        <f t="shared" si="16"/>
        <v>0</v>
      </c>
      <c r="D34" s="616">
        <f t="shared" si="17"/>
        <v>1</v>
      </c>
      <c r="E34" s="618">
        <v>0</v>
      </c>
      <c r="F34" s="619">
        <f t="shared" si="18"/>
        <v>0</v>
      </c>
      <c r="G34" s="47">
        <f t="shared" si="19"/>
        <v>0</v>
      </c>
      <c r="H34" s="2"/>
      <c r="I34" s="621">
        <f>VLOOKUP(A31,Macronutrients,5,FALSE)*E31+VLOOKUP(A32,Macronutrients,5,FALSE)*E32+VLOOKUP(A33,Macronutrients,5,FALSE)*E33+VLOOKUP(A34,Macronutrients,5,FALSE)*E34+VLOOKUP(A35,Macronutrients,5,FALSE)*E35+VLOOKUP(A36,Macronutrients,5,FALSE)*E36+VLOOKUP(A39,Micronutrients,5,FALSE)*E39+VLOOKUP(A40,Micronutrients,5,FALSE)*E40+VLOOKUP(A41,Micronutrients,5,FALSE)*E41+VLOOKUP(A42,Micronutrients,5,FALSE)*E42</f>
        <v>0</v>
      </c>
      <c r="J34" s="621">
        <f>VLOOKUP(A31,Macronutrients,7,FALSE)*E31+VLOOKUP(A32,Macronutrients,7,FALSE)*E32+VLOOKUP(A33,Macronutrients,7,FALSE)*E33+VLOOKUP(A34,Macronutrients,7,FALSE)*E34+VLOOKUP(A35,Macronutrients,7,FALSE)*E35+VLOOKUP(A36,Macronutrients,7,FALSE)*E36+VLOOKUP(A39,Micronutrients,7,FALSE)*E39+VLOOKUP(A40,Micronutrients,7,FALSE)*E40+VLOOKUP(A41,Micronutrients,7,FALSE)*E41+VLOOKUP(A42,Micronutrients,7,FALSE)*E42</f>
        <v>0</v>
      </c>
      <c r="K34" s="622">
        <f>VLOOKUP($A31,Macronutrients,6,FALSE)*$E$6+VLOOKUP($A32,Macronutrients,6,FALSE)*$E$7+VLOOKUP($A33,Macronutrients,6,FALSE)*$E$8+VLOOKUP($A34,Macronutrients,6,FALSE)*$E$9+VLOOKUP($A35,Macronutrients,6,FALSE)*$E$10+VLOOKUP($A36,Macronutrients,6,FALSE)*$E$11+VLOOKUP($A39,Micronutrients,6,FALSE)*$E$14+VLOOKUP($A40,Micronutrients,6,FALSE)*E40+VLOOKUP($A41,Micronutrients,6,FALSE)*$E$16+VLOOKUP($A42,Micronutrients,6,FALSE)*$E$17</f>
        <v>0</v>
      </c>
      <c r="L34" s="626"/>
      <c r="M34" s="615" t="s">
        <v>13</v>
      </c>
      <c r="N34" s="616" t="str">
        <f t="shared" si="20"/>
        <v>None</v>
      </c>
      <c r="O34" s="617">
        <f t="shared" si="21"/>
        <v>0</v>
      </c>
      <c r="P34" s="616">
        <f t="shared" si="22"/>
        <v>1</v>
      </c>
      <c r="Q34" s="618">
        <v>0</v>
      </c>
      <c r="R34" s="619">
        <f t="shared" si="23"/>
        <v>0</v>
      </c>
      <c r="S34" s="47">
        <f t="shared" si="24"/>
        <v>0</v>
      </c>
      <c r="T34" s="2"/>
      <c r="U34" s="621">
        <f>VLOOKUP(M31,Macronutrients,5,FALSE)*Q31+VLOOKUP(M32,Macronutrients,5,FALSE)*Q32+VLOOKUP(M33,Macronutrients,5,FALSE)*Q33+VLOOKUP(M34,Macronutrients,5,FALSE)*Q34+VLOOKUP(M35,Macronutrients,5,FALSE)*Q35+VLOOKUP(M36,Macronutrients,5,FALSE)*Q36+VLOOKUP(M39,Micronutrients,5,FALSE)*Q39+VLOOKUP(M40,Micronutrients,5,FALSE)*Q40+VLOOKUP(M41,Micronutrients,5,FALSE)*Q41+VLOOKUP(M42,Micronutrients,5,FALSE)*Q42</f>
        <v>0</v>
      </c>
      <c r="V34" s="621">
        <f>VLOOKUP(M31,Macronutrients,7,FALSE)*Q31+VLOOKUP(M32,Macronutrients,7,FALSE)*Q32+VLOOKUP(M33,Macronutrients,7,FALSE)*Q33+VLOOKUP(M34,Macronutrients,7,FALSE)*Q34+VLOOKUP(M35,Macronutrients,7,FALSE)*Q35+VLOOKUP(M36,Macronutrients,7,FALSE)*Q36+VLOOKUP(M39,Micronutrients,7,FALSE)*Q39+VLOOKUP(M40,Micronutrients,7,FALSE)*Q40+VLOOKUP(M41,Micronutrients,7,FALSE)*Q41+VLOOKUP(M42,Micronutrients,7,FALSE)*Q42</f>
        <v>0</v>
      </c>
      <c r="W34" s="622">
        <f>VLOOKUP($A31,Macronutrients,6,FALSE)*$E$6+VLOOKUP($A32,Macronutrients,6,FALSE)*$E$7+VLOOKUP($A33,Macronutrients,6,FALSE)*$E$8+VLOOKUP($A34,Macronutrients,6,FALSE)*$E$9+VLOOKUP($A35,Macronutrients,6,FALSE)*$E$10+VLOOKUP($A36,Macronutrients,6,FALSE)*$E$11+VLOOKUP($A39,Micronutrients,6,FALSE)*$E$14+VLOOKUP($A40,Micronutrients,6,FALSE)*Q40+VLOOKUP($A41,Micronutrients,6,FALSE)*$E$16+VLOOKUP($A42,Micronutrients,6,FALSE)*$E$17</f>
        <v>0</v>
      </c>
      <c r="X34" s="623"/>
      <c r="Y34" s="615" t="s">
        <v>13</v>
      </c>
      <c r="Z34" s="616" t="str">
        <f t="shared" si="25"/>
        <v>None</v>
      </c>
      <c r="AA34" s="617">
        <f t="shared" si="26"/>
        <v>0</v>
      </c>
      <c r="AB34" s="616">
        <f t="shared" si="27"/>
        <v>1</v>
      </c>
      <c r="AC34" s="618">
        <v>0</v>
      </c>
      <c r="AD34" s="619">
        <f t="shared" si="28"/>
        <v>0</v>
      </c>
      <c r="AE34" s="47">
        <f t="shared" si="29"/>
        <v>0</v>
      </c>
      <c r="AF34" s="2"/>
      <c r="AG34" s="621">
        <f>VLOOKUP(Y31,Macronutrients,5,FALSE)*AC31+VLOOKUP(Y32,Macronutrients,5,FALSE)*AC32+VLOOKUP(Y33,Macronutrients,5,FALSE)*AC33+VLOOKUP(Y34,Macronutrients,5,FALSE)*AC34+VLOOKUP(Y35,Macronutrients,5,FALSE)*AC35+VLOOKUP(Y36,Macronutrients,5,FALSE)*AC36+VLOOKUP(Y39,Micronutrients,5,FALSE)*AC39+VLOOKUP(Y40,Micronutrients,5,FALSE)*AC40+VLOOKUP(Y41,Micronutrients,5,FALSE)*AC41+VLOOKUP(Y42,Micronutrients,5,FALSE)*AC42</f>
        <v>0</v>
      </c>
      <c r="AH34" s="621">
        <f>VLOOKUP(Y31,Macronutrients,7,FALSE)*AC31+VLOOKUP(Y32,Macronutrients,7,FALSE)*AC32+VLOOKUP(Y33,Macronutrients,7,FALSE)*AC33+VLOOKUP(Y34,Macronutrients,7,FALSE)*AC34+VLOOKUP(Y35,Macronutrients,7,FALSE)*AC35+VLOOKUP(Y36,Macronutrients,7,FALSE)*AC36+VLOOKUP(Y39,Micronutrients,7,FALSE)*AC39+VLOOKUP(Y40,Micronutrients,7,FALSE)*AC40+VLOOKUP(Y41,Micronutrients,7,FALSE)*AC41+VLOOKUP(Y42,Micronutrients,7,FALSE)*AC42</f>
        <v>0</v>
      </c>
      <c r="AI34" s="622">
        <f>VLOOKUP($A31,Macronutrients,6,FALSE)*$E$6+VLOOKUP($A32,Macronutrients,6,FALSE)*$E$7+VLOOKUP($A33,Macronutrients,6,FALSE)*$E$8+VLOOKUP($A34,Macronutrients,6,FALSE)*$E$9+VLOOKUP($A35,Macronutrients,6,FALSE)*$E$10+VLOOKUP($A36,Macronutrients,6,FALSE)*$E$11+VLOOKUP($A39,Micronutrients,6,FALSE)*$E$14+VLOOKUP($A40,Micronutrients,6,FALSE)*AC40+VLOOKUP($A41,Micronutrients,6,FALSE)*$E$16+VLOOKUP($A42,Micronutrients,6,FALSE)*$E$17</f>
        <v>0</v>
      </c>
    </row>
    <row r="35" spans="1:35" s="60" customFormat="1" ht="15.6">
      <c r="A35" s="615" t="s">
        <v>13</v>
      </c>
      <c r="B35" s="616" t="str">
        <f t="shared" si="15"/>
        <v>None</v>
      </c>
      <c r="C35" s="617">
        <f t="shared" si="16"/>
        <v>0</v>
      </c>
      <c r="D35" s="616">
        <f t="shared" si="17"/>
        <v>1</v>
      </c>
      <c r="E35" s="618">
        <v>0</v>
      </c>
      <c r="F35" s="619">
        <f t="shared" si="18"/>
        <v>0</v>
      </c>
      <c r="G35" s="47">
        <f t="shared" si="19"/>
        <v>0</v>
      </c>
      <c r="H35" s="2"/>
      <c r="I35" s="624"/>
      <c r="J35" s="624"/>
      <c r="K35" s="625"/>
      <c r="L35" s="623"/>
      <c r="M35" s="615" t="s">
        <v>13</v>
      </c>
      <c r="N35" s="616" t="str">
        <f t="shared" si="20"/>
        <v>None</v>
      </c>
      <c r="O35" s="617">
        <f t="shared" si="21"/>
        <v>0</v>
      </c>
      <c r="P35" s="616">
        <f t="shared" si="22"/>
        <v>1</v>
      </c>
      <c r="Q35" s="618">
        <v>0</v>
      </c>
      <c r="R35" s="619">
        <f t="shared" si="23"/>
        <v>0</v>
      </c>
      <c r="S35" s="47">
        <f t="shared" si="24"/>
        <v>0</v>
      </c>
      <c r="T35" s="2"/>
      <c r="U35" s="624"/>
      <c r="V35" s="624"/>
      <c r="W35" s="625"/>
      <c r="X35" s="217"/>
      <c r="Y35" s="615" t="s">
        <v>13</v>
      </c>
      <c r="Z35" s="616" t="str">
        <f t="shared" si="25"/>
        <v>None</v>
      </c>
      <c r="AA35" s="617">
        <f t="shared" si="26"/>
        <v>0</v>
      </c>
      <c r="AB35" s="616">
        <f t="shared" si="27"/>
        <v>1</v>
      </c>
      <c r="AC35" s="618">
        <v>0</v>
      </c>
      <c r="AD35" s="619">
        <f t="shared" si="28"/>
        <v>0</v>
      </c>
      <c r="AE35" s="47">
        <f t="shared" si="29"/>
        <v>0</v>
      </c>
      <c r="AF35" s="2"/>
      <c r="AG35" s="624"/>
      <c r="AH35" s="624"/>
      <c r="AI35" s="625"/>
    </row>
    <row r="36" spans="1:35" s="60" customFormat="1" ht="15.6">
      <c r="A36" s="615" t="s">
        <v>13</v>
      </c>
      <c r="B36" s="616" t="str">
        <f t="shared" si="15"/>
        <v>None</v>
      </c>
      <c r="C36" s="617">
        <f t="shared" si="16"/>
        <v>0</v>
      </c>
      <c r="D36" s="616">
        <f t="shared" si="17"/>
        <v>1</v>
      </c>
      <c r="E36" s="618">
        <v>0</v>
      </c>
      <c r="F36" s="619">
        <f t="shared" si="18"/>
        <v>0</v>
      </c>
      <c r="G36" s="47">
        <f t="shared" si="19"/>
        <v>0</v>
      </c>
      <c r="H36" s="2"/>
      <c r="I36" s="642" t="s">
        <v>114</v>
      </c>
      <c r="J36" s="642" t="s">
        <v>115</v>
      </c>
      <c r="K36" s="643" t="s">
        <v>116</v>
      </c>
      <c r="M36" s="615" t="s">
        <v>13</v>
      </c>
      <c r="N36" s="616" t="str">
        <f t="shared" si="20"/>
        <v>None</v>
      </c>
      <c r="O36" s="617">
        <f t="shared" si="21"/>
        <v>0</v>
      </c>
      <c r="P36" s="616">
        <f t="shared" si="22"/>
        <v>1</v>
      </c>
      <c r="Q36" s="618">
        <v>0</v>
      </c>
      <c r="R36" s="619">
        <f t="shared" si="23"/>
        <v>0</v>
      </c>
      <c r="S36" s="47">
        <f t="shared" si="24"/>
        <v>0</v>
      </c>
      <c r="T36" s="2"/>
      <c r="U36" s="642" t="s">
        <v>114</v>
      </c>
      <c r="V36" s="642" t="s">
        <v>115</v>
      </c>
      <c r="W36" s="643" t="s">
        <v>116</v>
      </c>
      <c r="X36" s="626"/>
      <c r="Y36" s="615" t="s">
        <v>13</v>
      </c>
      <c r="Z36" s="616" t="str">
        <f t="shared" si="25"/>
        <v>None</v>
      </c>
      <c r="AA36" s="617">
        <f t="shared" si="26"/>
        <v>0</v>
      </c>
      <c r="AB36" s="616">
        <f t="shared" si="27"/>
        <v>1</v>
      </c>
      <c r="AC36" s="618">
        <v>0</v>
      </c>
      <c r="AD36" s="619">
        <f t="shared" si="28"/>
        <v>0</v>
      </c>
      <c r="AE36" s="47">
        <f t="shared" si="29"/>
        <v>0</v>
      </c>
      <c r="AF36" s="2"/>
      <c r="AG36" s="642" t="s">
        <v>114</v>
      </c>
      <c r="AH36" s="642" t="s">
        <v>115</v>
      </c>
      <c r="AI36" s="643" t="s">
        <v>116</v>
      </c>
    </row>
    <row r="37" spans="1:35" s="60" customFormat="1" ht="15.6">
      <c r="A37" s="627"/>
      <c r="B37" s="47"/>
      <c r="C37" s="617"/>
      <c r="D37" s="619"/>
      <c r="E37" s="122"/>
      <c r="F37" s="619"/>
      <c r="G37" s="47"/>
      <c r="H37" s="2"/>
      <c r="I37" s="750">
        <f>VLOOKUP(A31,Macronutrients,8,FALSE)*E31+VLOOKUP(A32,Macronutrients,8,FALSE)*E32+VLOOKUP(A33,Macronutrients,8,FALSE)*E33+VLOOKUP(A34,Macronutrients,8,FALSE)*E34+VLOOKUP(A35,Macronutrients,8,FALSE)*E35+VLOOKUP(A36,Macronutrients,8,FALSE)*E36+VLOOKUP(A39,Micronutrients,8,FALSE)*E39+VLOOKUP(A40,Micronutrients,8,FALSE)*E40+VLOOKUP(A41,Micronutrients,8,FALSE)*E41+VLOOKUP(A42,Micronutrients,8,FALSE)*E42</f>
        <v>0</v>
      </c>
      <c r="J37" s="750">
        <f>VLOOKUP(A31,Macronutrients,9,FALSE)*E31+VLOOKUP(A32,Macronutrients,9,FALSE)*E32+VLOOKUP(A33,Macronutrients,9,FALSE)*E33+VLOOKUP(A34,Macronutrients,9,FALSE)*E34+VLOOKUP(A35,Macronutrients,9,FALSE)*E35+VLOOKUP(A36,Macronutrients,9,FALSE)*E36+VLOOKUP(A39,Micronutrients,9,FALSE)*E39+VLOOKUP(A40,Micronutrients,9,FALSE)*E40+VLOOKUP(A41,Micronutrients,9,FALSE)*E41+VLOOKUP(A42,Micronutrients,9,FALSE)*E42</f>
        <v>0</v>
      </c>
      <c r="K37" s="772">
        <f>VLOOKUP(A31,Macronutrients,10,FALSE)*E31+VLOOKUP(A32,Macronutrients,10,FALSE)*E32+VLOOKUP(A33,Macronutrients,10,FALSE)*E33+VLOOKUP(A34,Macronutrients,10,FALSE)*E34+VLOOKUP(A35,Macronutrients,10,FALSE)*E35+VLOOKUP(A36,Macronutrients,10,FALSE)*E36+VLOOKUP(A39,Micronutrients,10,FALSE)*E39+VLOOKUP(A40,Micronutrients,10,FALSE)*E40+VLOOKUP(A41,Micronutrients,10,FALSE)*E41+VLOOKUP(A42,Micronutrients,10,FALSE)*E42</f>
        <v>0</v>
      </c>
      <c r="L37" s="626"/>
      <c r="M37" s="627"/>
      <c r="N37" s="17"/>
      <c r="O37" s="617"/>
      <c r="P37" s="616"/>
      <c r="Q37" s="628"/>
      <c r="R37" s="619"/>
      <c r="S37" s="47"/>
      <c r="T37" s="2"/>
      <c r="U37" s="750">
        <f>VLOOKUP(M31,Macronutrients,8,FALSE)*Q31+VLOOKUP(M32,Macronutrients,8,FALSE)*Q32+VLOOKUP(M33,Macronutrients,8,FALSE)*Q33+VLOOKUP(M34,Macronutrients,8,FALSE)*Q34+VLOOKUP(M35,Macronutrients,8,FALSE)*Q35+VLOOKUP(M36,Macronutrients,8,FALSE)*Q36+VLOOKUP(M39,Micronutrients,8,FALSE)*Q39+VLOOKUP(M40,Micronutrients,8,FALSE)*Q40+VLOOKUP(M41,Micronutrients,8,FALSE)*Q41+VLOOKUP(M42,Micronutrients,8,FALSE)*Q42</f>
        <v>0</v>
      </c>
      <c r="V37" s="750">
        <f>VLOOKUP(M31,Macronutrients,9,FALSE)*Q31+VLOOKUP(M32,Macronutrients,9,FALSE)*Q32+VLOOKUP(M33,Macronutrients,9,FALSE)*Q33+VLOOKUP(M34,Macronutrients,9,FALSE)*Q34+VLOOKUP(M35,Macronutrients,9,FALSE)*Q35+VLOOKUP(M36,Macronutrients,9,FALSE)*Q36+VLOOKUP(M39,Micronutrients,9,FALSE)*Q39+VLOOKUP(M40,Micronutrients,9,FALSE)*Q40+VLOOKUP(M41,Micronutrients,9,FALSE)*Q41+VLOOKUP(M42,Micronutrients,9,FALSE)*Q42</f>
        <v>0</v>
      </c>
      <c r="W37" s="772">
        <f>VLOOKUP(M31,Macronutrients,10,FALSE)*Q31+VLOOKUP(M32,Macronutrients,10,FALSE)*Q32+VLOOKUP(M33,Macronutrients,10,FALSE)*Q33+VLOOKUP(M34,Macronutrients,10,FALSE)*Q34+VLOOKUP(M35,Macronutrients,10,FALSE)*Q35+VLOOKUP(M36,Macronutrients,10,FALSE)*Q36+VLOOKUP(M39,Micronutrients,10,FALSE)*Q39+VLOOKUP(M40,Micronutrients,10,FALSE)*Q40+VLOOKUP(M41,Micronutrients,10,FALSE)*Q41+VLOOKUP(M42,Micronutrients,10,FALSE)*Q42</f>
        <v>0</v>
      </c>
      <c r="X37" s="629"/>
      <c r="Y37" s="627"/>
      <c r="Z37" s="17"/>
      <c r="AA37" s="617"/>
      <c r="AB37" s="616"/>
      <c r="AC37" s="628"/>
      <c r="AD37" s="619"/>
      <c r="AE37" s="47"/>
      <c r="AF37" s="2"/>
      <c r="AG37" s="750">
        <f>VLOOKUP(Y31,Macronutrients,8,FALSE)*AC31+VLOOKUP(Y32,Macronutrients,8,FALSE)*AC32+VLOOKUP(Y33,Macronutrients,8,FALSE)*AC33+VLOOKUP(Y34,Macronutrients,8,FALSE)*AC34+VLOOKUP(Y35,Macronutrients,8,FALSE)*AC35+VLOOKUP(Y36,Macronutrients,8,FALSE)*AC36+VLOOKUP(Y39,Micronutrients,8,FALSE)*AC39+VLOOKUP(Y40,Micronutrients,8,FALSE)*AC40+VLOOKUP(Y41,Micronutrients,8,FALSE)*AC41+VLOOKUP(Y42,Micronutrients,8,FALSE)*AC42</f>
        <v>0</v>
      </c>
      <c r="AH37" s="750">
        <f>VLOOKUP(Y31,Macronutrients,9,FALSE)*AC31+VLOOKUP(Y32,Macronutrients,9,FALSE)*AC32+VLOOKUP(Y33,Macronutrients,9,FALSE)*AC33+VLOOKUP(Y34,Macronutrients,9,FALSE)*AC34+VLOOKUP(Y35,Macronutrients,9,FALSE)*AC35+VLOOKUP(Y36,Macronutrients,9,FALSE)*AC36+VLOOKUP(Y39,Micronutrients,9,FALSE)*AC39+VLOOKUP(Y40,Micronutrients,9,FALSE)*AC40+VLOOKUP(Y41,Micronutrients,9,FALSE)*AC41+VLOOKUP(Y42,Micronutrients,9,FALSE)*AC42</f>
        <v>0</v>
      </c>
      <c r="AI37" s="772">
        <f>VLOOKUP(Y31,Macronutrients,10,FALSE)*AC31+VLOOKUP(Y32,Macronutrients,10,FALSE)*AC32+VLOOKUP(Y33,Macronutrients,10,FALSE)*AC33+VLOOKUP(Y34,Macronutrients,10,FALSE)*AC34+VLOOKUP(Y35,Macronutrients,10,FALSE)*AC35+VLOOKUP(Y36,Macronutrients,10,FALSE)*AC36+VLOOKUP(Y39,Micronutrients,10,FALSE)*AC39+VLOOKUP(Y40,Micronutrients,10,FALSE)*AC40+VLOOKUP(Y41,Micronutrients,10,FALSE)*AC41+VLOOKUP(Y42,Micronutrients,10,FALSE)*AC42</f>
        <v>0</v>
      </c>
    </row>
    <row r="38" spans="1:35" s="60" customFormat="1" ht="15.6">
      <c r="A38" s="115" t="s">
        <v>759</v>
      </c>
      <c r="B38" s="18"/>
      <c r="C38" s="617"/>
      <c r="D38" s="18"/>
      <c r="E38" s="628"/>
      <c r="F38" s="57"/>
      <c r="G38" s="47"/>
      <c r="H38" s="2"/>
      <c r="I38" s="2"/>
      <c r="J38" s="2"/>
      <c r="K38" s="58"/>
      <c r="L38" s="623"/>
      <c r="M38" s="115" t="s">
        <v>759</v>
      </c>
      <c r="N38" s="18"/>
      <c r="O38" s="617"/>
      <c r="P38" s="18"/>
      <c r="Q38" s="628"/>
      <c r="R38" s="57"/>
      <c r="S38" s="47"/>
      <c r="T38" s="2"/>
      <c r="U38" s="2"/>
      <c r="V38" s="2"/>
      <c r="W38" s="58"/>
      <c r="Y38" s="115" t="s">
        <v>759</v>
      </c>
      <c r="Z38" s="18"/>
      <c r="AA38" s="617"/>
      <c r="AB38" s="18"/>
      <c r="AC38" s="628"/>
      <c r="AD38" s="57"/>
      <c r="AE38" s="47"/>
      <c r="AF38" s="2"/>
      <c r="AG38" s="2"/>
      <c r="AH38" s="2"/>
      <c r="AI38" s="58"/>
    </row>
    <row r="39" spans="1:35" s="60" customFormat="1" ht="15.6">
      <c r="A39" s="615" t="s">
        <v>13</v>
      </c>
      <c r="B39" s="616" t="str">
        <f>VLOOKUP(A39,Micronutrients,17,FALSE)</f>
        <v>None</v>
      </c>
      <c r="C39" s="617">
        <f>VLOOKUP(A39,Micronutrients,18,FALSE)</f>
        <v>0</v>
      </c>
      <c r="D39" s="616">
        <f>VLOOKUP(A39,Micronutrients,16,FALSE)</f>
        <v>1</v>
      </c>
      <c r="E39" s="618">
        <v>0</v>
      </c>
      <c r="F39" s="619">
        <f>VLOOKUP(A39,Micronutrients,15,FALSE)</f>
        <v>0</v>
      </c>
      <c r="G39" s="47">
        <f>(E39*VLOOKUP(A39,Micronutrients,14,FALSE)/D39)*C39</f>
        <v>0</v>
      </c>
      <c r="H39" s="2"/>
      <c r="I39" s="642" t="s">
        <v>858</v>
      </c>
      <c r="J39" s="642" t="s">
        <v>859</v>
      </c>
      <c r="K39" s="643" t="s">
        <v>860</v>
      </c>
      <c r="L39" s="623"/>
      <c r="M39" s="615" t="s">
        <v>13</v>
      </c>
      <c r="N39" s="616" t="str">
        <f>VLOOKUP(M39,Micronutrients,17,FALSE)</f>
        <v>None</v>
      </c>
      <c r="O39" s="617">
        <f>VLOOKUP(M39,Micronutrients,18,FALSE)</f>
        <v>0</v>
      </c>
      <c r="P39" s="616">
        <f>VLOOKUP(M39,Micronutrients,16,FALSE)</f>
        <v>1</v>
      </c>
      <c r="Q39" s="618">
        <v>0</v>
      </c>
      <c r="R39" s="619">
        <f>VLOOKUP(M39,Micronutrients,15,FALSE)</f>
        <v>0</v>
      </c>
      <c r="S39" s="47">
        <f>(Q39*VLOOKUP(M39,Micronutrients,14,FALSE)/P39)*O39</f>
        <v>0</v>
      </c>
      <c r="T39" s="2"/>
      <c r="U39" s="642" t="s">
        <v>858</v>
      </c>
      <c r="V39" s="642" t="s">
        <v>859</v>
      </c>
      <c r="W39" s="643" t="s">
        <v>860</v>
      </c>
      <c r="Y39" s="615" t="s">
        <v>13</v>
      </c>
      <c r="Z39" s="616" t="str">
        <f>VLOOKUP(Y39,Micronutrients,17,FALSE)</f>
        <v>None</v>
      </c>
      <c r="AA39" s="617">
        <f>VLOOKUP(Y39,Micronutrients,18,FALSE)</f>
        <v>0</v>
      </c>
      <c r="AB39" s="616">
        <f>VLOOKUP(Y39,Micronutrients,16,FALSE)</f>
        <v>1</v>
      </c>
      <c r="AC39" s="618">
        <v>0</v>
      </c>
      <c r="AD39" s="619">
        <f>VLOOKUP(Y39,Micronutrients,15,FALSE)</f>
        <v>0</v>
      </c>
      <c r="AE39" s="47">
        <f>(AC39*VLOOKUP(Y39,Micronutrients,14,FALSE)/AB39)*AA39</f>
        <v>0</v>
      </c>
      <c r="AF39" s="2"/>
      <c r="AG39" s="642" t="s">
        <v>858</v>
      </c>
      <c r="AH39" s="642" t="s">
        <v>859</v>
      </c>
      <c r="AI39" s="643" t="s">
        <v>860</v>
      </c>
    </row>
    <row r="40" spans="1:35" s="60" customFormat="1" ht="15.6">
      <c r="A40" s="615" t="s">
        <v>13</v>
      </c>
      <c r="B40" s="616" t="str">
        <f>VLOOKUP(A40,Micronutrients,17,FALSE)</f>
        <v>None</v>
      </c>
      <c r="C40" s="617">
        <f>VLOOKUP(A40,Micronutrients,18,FALSE)</f>
        <v>0</v>
      </c>
      <c r="D40" s="616">
        <f>VLOOKUP(A40,Micronutrients,16,FALSE)</f>
        <v>1</v>
      </c>
      <c r="E40" s="618">
        <v>0</v>
      </c>
      <c r="F40" s="619">
        <f>VLOOKUP(A40,Micronutrients,15,FALSE)</f>
        <v>0</v>
      </c>
      <c r="G40" s="47">
        <f>(E40*VLOOKUP(A40,Micronutrients,14,FALSE)/D40)*C40</f>
        <v>0</v>
      </c>
      <c r="H40" s="2"/>
      <c r="I40" s="750">
        <f>VLOOKUP(A31,Macronutrients,11,FALSE)*E31+VLOOKUP(A32,Macronutrients,11,FALSE)*E32+VLOOKUP(A33,Macronutrients,11,FALSE)*E33+VLOOKUP(A34,Macronutrients,11,FALSE)*E34+VLOOKUP(A35,Macronutrients,11,FALSE)*E35+VLOOKUP(A36,Macronutrients,11,FALSE)*E36+VLOOKUP(A39,Micronutrients,11,FALSE)*E39+VLOOKUP(A40,Micronutrients,11,FALSE)*E40+VLOOKUP(A41,Micronutrients,11,FALSE)*E41+VLOOKUP(A42,Micronutrients,11,FALSE)*E42</f>
        <v>0</v>
      </c>
      <c r="J40" s="750">
        <f>VLOOKUP(A31,Macronutrients,12,FALSE)*E31+VLOOKUP(A32,Macronutrients,12,FALSE)*E32+VLOOKUP(A33,Macronutrients,12,FALSE)*E33+VLOOKUP(A34,Macronutrients,12,FALSE)*E34+VLOOKUP(A35,Macronutrients,12,FALSE)*E35+VLOOKUP(A36,Macronutrients,12,FALSE)*E36+VLOOKUP(A39,Micronutrients,12,FALSE)*E39+VLOOKUP(A40,Micronutrients,12,FALSE)*E40+VLOOKUP(A41,Micronutrients,12,FALSE)*E41+VLOOKUP(A42,Micronutrients,12,FALSE)*E42</f>
        <v>0</v>
      </c>
      <c r="K40" s="772">
        <f>VLOOKUP(A31,Macronutrients,13,FALSE)*E31+VLOOKUP(A32,Macronutrients,13,FALSE)*E32+VLOOKUP(A33,Macronutrients,13,FALSE)*E33+VLOOKUP(A34,Macronutrients,13,FALSE)*E34+VLOOKUP(A35,Macronutrients,13,FALSE)*E35+VLOOKUP(A36,Macronutrients,13,FALSE)*E36+VLOOKUP(A39,Micronutrients,13,FALSE)*E39+VLOOKUP(A40,Micronutrients,13,FALSE)*E40+VLOOKUP(A41,Micronutrients,13,FALSE)*E41+VLOOKUP(A42,Micronutrients,13,FALSE)*E42</f>
        <v>0</v>
      </c>
      <c r="L40" s="626"/>
      <c r="M40" s="615" t="s">
        <v>13</v>
      </c>
      <c r="N40" s="616" t="str">
        <f>VLOOKUP(M40,Micronutrients,17,FALSE)</f>
        <v>None</v>
      </c>
      <c r="O40" s="617">
        <f>VLOOKUP(M40,Micronutrients,18,FALSE)</f>
        <v>0</v>
      </c>
      <c r="P40" s="616">
        <f>VLOOKUP(M40,Micronutrients,16,FALSE)</f>
        <v>1</v>
      </c>
      <c r="Q40" s="618">
        <v>0</v>
      </c>
      <c r="R40" s="619">
        <f>VLOOKUP(M40,Micronutrients,15,FALSE)</f>
        <v>0</v>
      </c>
      <c r="S40" s="47">
        <f>(Q40*VLOOKUP(M40,Micronutrients,14,FALSE)/P40)*O40</f>
        <v>0</v>
      </c>
      <c r="T40" s="2"/>
      <c r="U40" s="750">
        <f>VLOOKUP(M31,Macronutrients,11,FALSE)*Q31+VLOOKUP(M32,Macronutrients,11,FALSE)*Q32+VLOOKUP(M33,Macronutrients,11,FALSE)*Q33+VLOOKUP(M34,Macronutrients,11,FALSE)*Q34+VLOOKUP(M35,Macronutrients,11,FALSE)*Q35+VLOOKUP(M36,Macronutrients,11,FALSE)*Q36+VLOOKUP(M39,Micronutrients,11,FALSE)*Q39+VLOOKUP(M40,Micronutrients,11,FALSE)*Q40+VLOOKUP(M41,Micronutrients,11,FALSE)*Q41+VLOOKUP(M42,Micronutrients,11,FALSE)*Q42</f>
        <v>0</v>
      </c>
      <c r="V40" s="750">
        <f>VLOOKUP(M31,Macronutrients,12,FALSE)*Q31+VLOOKUP(M32,Macronutrients,12,FALSE)*Q32+VLOOKUP(M33,Macronutrients,12,FALSE)*Q33+VLOOKUP(M34,Macronutrients,12,FALSE)*Q34+VLOOKUP(M35,Macronutrients,12,FALSE)*Q35+VLOOKUP(M36,Macronutrients,12,FALSE)*Q36+VLOOKUP(M39,Micronutrients,12,FALSE)*Q39+VLOOKUP(M40,Micronutrients,12,FALSE)*Q40+VLOOKUP(M41,Micronutrients,12,FALSE)*Q41+VLOOKUP(M42,Micronutrients,12,FALSE)*Q42</f>
        <v>0</v>
      </c>
      <c r="W40" s="772">
        <f>VLOOKUP(M31,Macronutrients,13,FALSE)*Q31+VLOOKUP(M32,Macronutrients,13,FALSE)*Q32+VLOOKUP(M33,Macronutrients,13,FALSE)*Q33+VLOOKUP(M34,Macronutrients,13,FALSE)*Q34+VLOOKUP(M35,Macronutrients,13,FALSE)*Q35+VLOOKUP(M36,Macronutrients,13,FALSE)*Q36+VLOOKUP(M39,Micronutrients,13,FALSE)*Q39+VLOOKUP(M40,Micronutrients,13,FALSE)*Q40+VLOOKUP(M41,Micronutrients,13,FALSE)*Q41+VLOOKUP(M42,Micronutrients,13,FALSE)*Q42</f>
        <v>0</v>
      </c>
      <c r="Y40" s="615" t="s">
        <v>13</v>
      </c>
      <c r="Z40" s="616" t="str">
        <f>VLOOKUP(Y40,Micronutrients,17,FALSE)</f>
        <v>None</v>
      </c>
      <c r="AA40" s="617">
        <f>VLOOKUP(Y40,Micronutrients,18,FALSE)</f>
        <v>0</v>
      </c>
      <c r="AB40" s="616">
        <f>VLOOKUP(Y40,Micronutrients,16,FALSE)</f>
        <v>1</v>
      </c>
      <c r="AC40" s="618">
        <v>0</v>
      </c>
      <c r="AD40" s="619">
        <f>VLOOKUP(Y40,Micronutrients,15,FALSE)</f>
        <v>0</v>
      </c>
      <c r="AE40" s="47">
        <f>(AC40*VLOOKUP(Y40,Micronutrients,14,FALSE)/AB40)*AA40</f>
        <v>0</v>
      </c>
      <c r="AF40" s="2"/>
      <c r="AG40" s="750">
        <f>VLOOKUP(Y31,Macronutrients,11,FALSE)*AC31+VLOOKUP(Y32,Macronutrients,11,FALSE)*AC32+VLOOKUP(Y33,Macronutrients,11,FALSE)*AC33+VLOOKUP(Y34,Macronutrients,11,FALSE)*AC34+VLOOKUP(Y35,Macronutrients,11,FALSE)*AC35+VLOOKUP(Y36,Macronutrients,11,FALSE)*AC36+VLOOKUP(Y39,Micronutrients,11,FALSE)*AC39+VLOOKUP(Y40,Micronutrients,11,FALSE)*AC40+VLOOKUP(Y41,Micronutrients,11,FALSE)*AC41+VLOOKUP(Y42,Micronutrients,11,FALSE)*AC42</f>
        <v>0</v>
      </c>
      <c r="AH40" s="750">
        <f>VLOOKUP(Y31,Macronutrients,12,FALSE)*AC31+VLOOKUP(Y32,Macronutrients,12,FALSE)*AC32+VLOOKUP(Y33,Macronutrients,12,FALSE)*AC33+VLOOKUP(Y34,Macronutrients,12,FALSE)*AC34+VLOOKUP(Y35,Macronutrients,12,FALSE)*AC35+VLOOKUP(Y36,Macronutrients,12,FALSE)*AC36+VLOOKUP(Y39,Micronutrients,12,FALSE)*AC39+VLOOKUP(Y40,Micronutrients,12,FALSE)*AC40+VLOOKUP(Y41,Micronutrients,12,FALSE)*AC41+VLOOKUP(Y42,Micronutrients,12,FALSE)*AC42</f>
        <v>0</v>
      </c>
      <c r="AI40" s="772">
        <f>VLOOKUP(Y31,Macronutrients,13,FALSE)*AC31+VLOOKUP(Y32,Macronutrients,13,FALSE)*AC32+VLOOKUP(Y33,Macronutrients,13,FALSE)*AC33+VLOOKUP(Y34,Macronutrients,13,FALSE)*AC34+VLOOKUP(Y35,Macronutrients,13,FALSE)*AC35+VLOOKUP(Y36,Macronutrients,13,FALSE)*AC36+VLOOKUP(Y39,Micronutrients,13,FALSE)*AC39+VLOOKUP(Y40,Micronutrients,13,FALSE)*AC40+VLOOKUP(Y41,Micronutrients,13,FALSE)*AC41+VLOOKUP(Y42,Micronutrients,13,FALSE)*AC42</f>
        <v>0</v>
      </c>
    </row>
    <row r="41" spans="1:35" s="60" customFormat="1" ht="15.6">
      <c r="A41" s="615" t="s">
        <v>13</v>
      </c>
      <c r="B41" s="616" t="str">
        <f>VLOOKUP(A41,Micronutrients,17,FALSE)</f>
        <v>None</v>
      </c>
      <c r="C41" s="617">
        <f>VLOOKUP(A41,Micronutrients,18,FALSE)</f>
        <v>0</v>
      </c>
      <c r="D41" s="616">
        <f>VLOOKUP(A41,Micronutrients,16,FALSE)</f>
        <v>1</v>
      </c>
      <c r="E41" s="618">
        <v>0</v>
      </c>
      <c r="F41" s="619">
        <f>VLOOKUP(A41,Micronutrients,15,FALSE)</f>
        <v>0</v>
      </c>
      <c r="G41" s="47">
        <f>(E41*VLOOKUP(A41,Micronutrients,14,FALSE)/D41)*C41</f>
        <v>0</v>
      </c>
      <c r="H41" s="2"/>
      <c r="I41" s="2"/>
      <c r="J41" s="2"/>
      <c r="K41" s="58"/>
      <c r="L41" s="629"/>
      <c r="M41" s="615" t="s">
        <v>13</v>
      </c>
      <c r="N41" s="616" t="str">
        <f>VLOOKUP(M41,Micronutrients,17,FALSE)</f>
        <v>None</v>
      </c>
      <c r="O41" s="617">
        <f>VLOOKUP(M41,Micronutrients,18,FALSE)</f>
        <v>0</v>
      </c>
      <c r="P41" s="616">
        <f>VLOOKUP(M41,Micronutrients,16,FALSE)</f>
        <v>1</v>
      </c>
      <c r="Q41" s="618">
        <v>0</v>
      </c>
      <c r="R41" s="619">
        <f>VLOOKUP(M41,Micronutrients,15,FALSE)</f>
        <v>0</v>
      </c>
      <c r="S41" s="47">
        <f>(Q41*VLOOKUP(M41,Micronutrients,14,FALSE)/P41)*O41</f>
        <v>0</v>
      </c>
      <c r="T41" s="2"/>
      <c r="U41" s="2"/>
      <c r="V41" s="2"/>
      <c r="W41" s="58"/>
      <c r="Y41" s="615" t="s">
        <v>13</v>
      </c>
      <c r="Z41" s="616" t="str">
        <f>VLOOKUP(Y41,Micronutrients,17,FALSE)</f>
        <v>None</v>
      </c>
      <c r="AA41" s="617">
        <f>VLOOKUP(Y41,Micronutrients,18,FALSE)</f>
        <v>0</v>
      </c>
      <c r="AB41" s="616">
        <f>VLOOKUP(Y41,Micronutrients,16,FALSE)</f>
        <v>1</v>
      </c>
      <c r="AC41" s="618">
        <v>0</v>
      </c>
      <c r="AD41" s="619">
        <f>VLOOKUP(Y41,Micronutrients,15,FALSE)</f>
        <v>0</v>
      </c>
      <c r="AE41" s="47">
        <f>(AC41*VLOOKUP(Y41,Micronutrients,14,FALSE)/AB41)*AA41</f>
        <v>0</v>
      </c>
      <c r="AF41" s="2"/>
      <c r="AG41" s="2"/>
      <c r="AH41" s="2"/>
      <c r="AI41" s="58"/>
    </row>
    <row r="42" spans="1:35" s="60" customFormat="1" ht="15.6">
      <c r="A42" s="615" t="s">
        <v>13</v>
      </c>
      <c r="B42" s="616" t="str">
        <f>VLOOKUP(A42,Micronutrients,17,FALSE)</f>
        <v>None</v>
      </c>
      <c r="C42" s="617">
        <f>VLOOKUP(A42,Micronutrients,18,FALSE)</f>
        <v>0</v>
      </c>
      <c r="D42" s="616">
        <f>VLOOKUP(A42,Micronutrients,16,FALSE)</f>
        <v>1</v>
      </c>
      <c r="E42" s="618">
        <v>0</v>
      </c>
      <c r="F42" s="619">
        <f>VLOOKUP(A42,Micronutrients,15,FALSE)</f>
        <v>0</v>
      </c>
      <c r="G42" s="47">
        <f>(E42*VLOOKUP(A42,Micronutrients,14,FALSE)/D42)*C42</f>
        <v>0</v>
      </c>
      <c r="H42" s="2"/>
      <c r="I42" s="2"/>
      <c r="J42" s="2"/>
      <c r="K42" s="58"/>
      <c r="M42" s="615" t="s">
        <v>13</v>
      </c>
      <c r="N42" s="616" t="str">
        <f>VLOOKUP(M42,Micronutrients,17,FALSE)</f>
        <v>None</v>
      </c>
      <c r="O42" s="617">
        <f>VLOOKUP(M42,Micronutrients,18,FALSE)</f>
        <v>0</v>
      </c>
      <c r="P42" s="616">
        <f>VLOOKUP(M42,Micronutrients,16,FALSE)</f>
        <v>1</v>
      </c>
      <c r="Q42" s="618">
        <v>0</v>
      </c>
      <c r="R42" s="619">
        <f>VLOOKUP(M42,Micronutrients,15,FALSE)</f>
        <v>0</v>
      </c>
      <c r="S42" s="47">
        <f>(Q42*VLOOKUP(M42,Micronutrients,14,FALSE)/P42)*O42</f>
        <v>0</v>
      </c>
      <c r="T42" s="2"/>
      <c r="U42" s="2"/>
      <c r="V42" s="2"/>
      <c r="W42" s="58"/>
      <c r="Y42" s="615" t="s">
        <v>13</v>
      </c>
      <c r="Z42" s="616" t="str">
        <f>VLOOKUP(Y42,Micronutrients,17,FALSE)</f>
        <v>None</v>
      </c>
      <c r="AA42" s="617">
        <f>VLOOKUP(Y42,Micronutrients,18,FALSE)</f>
        <v>0</v>
      </c>
      <c r="AB42" s="616">
        <f>VLOOKUP(Y42,Micronutrients,16,FALSE)</f>
        <v>1</v>
      </c>
      <c r="AC42" s="618">
        <v>0</v>
      </c>
      <c r="AD42" s="619">
        <f>VLOOKUP(Y42,Micronutrients,15,FALSE)</f>
        <v>0</v>
      </c>
      <c r="AE42" s="47">
        <f>(AC42*VLOOKUP(Y42,Micronutrients,14,FALSE)/AB42)*AA42</f>
        <v>0</v>
      </c>
      <c r="AF42" s="2"/>
      <c r="AG42" s="2"/>
      <c r="AH42" s="2"/>
      <c r="AI42" s="58"/>
    </row>
    <row r="43" spans="1:35" s="60" customFormat="1" ht="15.6">
      <c r="A43" s="627"/>
      <c r="B43" s="18"/>
      <c r="C43" s="617"/>
      <c r="D43" s="18"/>
      <c r="E43" s="628"/>
      <c r="F43" s="57"/>
      <c r="G43" s="47"/>
      <c r="H43" s="2"/>
      <c r="I43" s="2"/>
      <c r="J43" s="2"/>
      <c r="K43" s="58"/>
      <c r="M43" s="627"/>
      <c r="N43" s="18"/>
      <c r="O43" s="617"/>
      <c r="P43" s="18"/>
      <c r="Q43" s="628"/>
      <c r="R43" s="57"/>
      <c r="S43" s="47"/>
      <c r="T43" s="2"/>
      <c r="U43" s="2"/>
      <c r="V43" s="2"/>
      <c r="W43" s="58"/>
      <c r="Y43" s="627"/>
      <c r="Z43" s="18"/>
      <c r="AA43" s="617"/>
      <c r="AB43" s="18"/>
      <c r="AC43" s="628"/>
      <c r="AD43" s="57"/>
      <c r="AE43" s="47"/>
      <c r="AF43" s="2"/>
      <c r="AG43" s="2"/>
      <c r="AH43" s="2"/>
      <c r="AI43" s="58"/>
    </row>
    <row r="44" spans="1:35" s="60" customFormat="1" ht="15.6">
      <c r="A44" s="115" t="s">
        <v>668</v>
      </c>
      <c r="B44" s="774"/>
      <c r="C44" s="775"/>
      <c r="D44" s="774"/>
      <c r="E44" s="776"/>
      <c r="F44" s="116"/>
      <c r="G44" s="116"/>
      <c r="H44" s="2"/>
      <c r="I44" s="2"/>
      <c r="J44" s="2"/>
      <c r="K44" s="58"/>
      <c r="L44" s="626"/>
      <c r="M44" s="115" t="s">
        <v>668</v>
      </c>
      <c r="N44" s="774"/>
      <c r="O44" s="775"/>
      <c r="P44" s="774"/>
      <c r="Q44" s="776"/>
      <c r="R44" s="116"/>
      <c r="S44" s="116"/>
      <c r="T44" s="2"/>
      <c r="U44" s="2"/>
      <c r="V44" s="2"/>
      <c r="W44" s="58"/>
      <c r="Y44" s="115" t="s">
        <v>668</v>
      </c>
      <c r="Z44" s="774"/>
      <c r="AA44" s="775"/>
      <c r="AB44" s="774"/>
      <c r="AC44" s="776"/>
      <c r="AD44" s="116"/>
      <c r="AE44" s="116"/>
      <c r="AF44" s="2"/>
      <c r="AG44" s="2"/>
      <c r="AH44" s="2"/>
      <c r="AI44" s="58"/>
    </row>
    <row r="45" spans="1:35" s="60" customFormat="1" ht="15.6">
      <c r="A45" s="386" t="s">
        <v>13</v>
      </c>
      <c r="B45" s="616" t="str">
        <f>VLOOKUP(A45,NitrogenStabilizers,17,FALSE)</f>
        <v>None</v>
      </c>
      <c r="C45" s="617">
        <f>VLOOKUP(A45,NitrogenStabilizers,18,FALSE)</f>
        <v>0</v>
      </c>
      <c r="D45" s="616">
        <f>VLOOKUP(A45,NitrogenStabilizers,16,FALSE)</f>
        <v>1</v>
      </c>
      <c r="E45" s="618">
        <v>0</v>
      </c>
      <c r="F45" s="619">
        <f>VLOOKUP(A45,NitrogenStabilizers,15,FALSE)</f>
        <v>0</v>
      </c>
      <c r="G45" s="47">
        <f>(E45*VLOOKUP(A45,NitrogenStabilizers,14,FALSE)/D45)*C45</f>
        <v>0</v>
      </c>
      <c r="H45" s="2"/>
      <c r="I45" s="2"/>
      <c r="J45" s="2"/>
      <c r="K45" s="58"/>
      <c r="L45" s="623"/>
      <c r="M45" s="386" t="s">
        <v>13</v>
      </c>
      <c r="N45" s="616" t="str">
        <f>VLOOKUP(M45,NitrogenStabilizers,17,FALSE)</f>
        <v>None</v>
      </c>
      <c r="O45" s="617">
        <f>VLOOKUP(M45,NitrogenStabilizers,18,FALSE)</f>
        <v>0</v>
      </c>
      <c r="P45" s="616">
        <f>VLOOKUP(M45,NitrogenStabilizers,16,FALSE)</f>
        <v>1</v>
      </c>
      <c r="Q45" s="618">
        <v>0</v>
      </c>
      <c r="R45" s="619">
        <f>VLOOKUP(M45,NitrogenStabilizers,15,FALSE)</f>
        <v>0</v>
      </c>
      <c r="S45" s="47">
        <f>(Q45*VLOOKUP(M45,NitrogenStabilizers,14,FALSE)/P45)*O45</f>
        <v>0</v>
      </c>
      <c r="T45" s="2"/>
      <c r="U45" s="2"/>
      <c r="V45" s="2"/>
      <c r="W45" s="58"/>
      <c r="Y45" s="386" t="s">
        <v>13</v>
      </c>
      <c r="Z45" s="616" t="str">
        <f>VLOOKUP(Y45,NitrogenStabilizers,17,FALSE)</f>
        <v>None</v>
      </c>
      <c r="AA45" s="617">
        <f>VLOOKUP(Y45,NitrogenStabilizers,18,FALSE)</f>
        <v>0</v>
      </c>
      <c r="AB45" s="616">
        <f>VLOOKUP(Y45,NitrogenStabilizers,16,FALSE)</f>
        <v>1</v>
      </c>
      <c r="AC45" s="618">
        <v>0</v>
      </c>
      <c r="AD45" s="619">
        <f>VLOOKUP(Y45,NitrogenStabilizers,15,FALSE)</f>
        <v>0</v>
      </c>
      <c r="AE45" s="47">
        <f>(AC45*VLOOKUP(Y45,NitrogenStabilizers,14,FALSE)/AB45)*AA45</f>
        <v>0</v>
      </c>
      <c r="AF45" s="2"/>
      <c r="AG45" s="2"/>
      <c r="AH45" s="2"/>
      <c r="AI45" s="58"/>
    </row>
    <row r="46" spans="1:35" s="60" customFormat="1" ht="15.6">
      <c r="A46" s="386" t="s">
        <v>13</v>
      </c>
      <c r="B46" s="616" t="str">
        <f>VLOOKUP(A46,NitrogenStabilizers,17,FALSE)</f>
        <v>None</v>
      </c>
      <c r="C46" s="617">
        <f>VLOOKUP(A46,NitrogenStabilizers,18,FALSE)</f>
        <v>0</v>
      </c>
      <c r="D46" s="616">
        <f>VLOOKUP(A46,NitrogenStabilizers,16,FALSE)</f>
        <v>1</v>
      </c>
      <c r="E46" s="618">
        <v>0</v>
      </c>
      <c r="F46" s="619">
        <f>VLOOKUP(A46,NitrogenStabilizers,15,FALSE)</f>
        <v>0</v>
      </c>
      <c r="G46" s="47">
        <f>(E46*VLOOKUP(A46,NitrogenStabilizers,14,FALSE)/D46)*C46</f>
        <v>0</v>
      </c>
      <c r="H46" s="2"/>
      <c r="I46" s="2"/>
      <c r="J46" s="2"/>
      <c r="K46" s="630" t="s">
        <v>429</v>
      </c>
      <c r="L46" s="623"/>
      <c r="M46" s="386" t="s">
        <v>13</v>
      </c>
      <c r="N46" s="616" t="str">
        <f>VLOOKUP(M46,NitrogenStabilizers,17,FALSE)</f>
        <v>None</v>
      </c>
      <c r="O46" s="617">
        <f>VLOOKUP(M46,NitrogenStabilizers,18,FALSE)</f>
        <v>0</v>
      </c>
      <c r="P46" s="616">
        <f>VLOOKUP(M46,NitrogenStabilizers,16,FALSE)</f>
        <v>1</v>
      </c>
      <c r="Q46" s="618">
        <v>0</v>
      </c>
      <c r="R46" s="619">
        <f>VLOOKUP(M46,NitrogenStabilizers,15,FALSE)</f>
        <v>0</v>
      </c>
      <c r="S46" s="47">
        <f>(Q46*VLOOKUP(M46,NitrogenStabilizers,14,FALSE)/P46)*O46</f>
        <v>0</v>
      </c>
      <c r="T46" s="2"/>
      <c r="U46" s="2"/>
      <c r="V46" s="2"/>
      <c r="W46" s="630" t="s">
        <v>429</v>
      </c>
      <c r="Y46" s="386" t="s">
        <v>13</v>
      </c>
      <c r="Z46" s="616" t="str">
        <f>VLOOKUP(Y46,NitrogenStabilizers,17,FALSE)</f>
        <v>None</v>
      </c>
      <c r="AA46" s="617">
        <f>VLOOKUP(Y46,NitrogenStabilizers,18,FALSE)</f>
        <v>0</v>
      </c>
      <c r="AB46" s="616">
        <f>VLOOKUP(Y46,NitrogenStabilizers,16,FALSE)</f>
        <v>1</v>
      </c>
      <c r="AC46" s="618">
        <v>0</v>
      </c>
      <c r="AD46" s="619">
        <f>VLOOKUP(Y46,NitrogenStabilizers,15,FALSE)</f>
        <v>0</v>
      </c>
      <c r="AE46" s="47">
        <f>(AC46*VLOOKUP(Y46,NitrogenStabilizers,14,FALSE)/AB46)*AA46</f>
        <v>0</v>
      </c>
      <c r="AF46" s="2"/>
      <c r="AG46" s="2"/>
      <c r="AH46" s="2"/>
      <c r="AI46" s="630" t="s">
        <v>429</v>
      </c>
    </row>
    <row r="47" spans="1:35" s="60" customFormat="1" ht="16.2" thickBot="1">
      <c r="A47" s="631" t="s">
        <v>143</v>
      </c>
      <c r="B47" s="638"/>
      <c r="C47" s="632"/>
      <c r="D47" s="632"/>
      <c r="E47" s="633"/>
      <c r="F47" s="632"/>
      <c r="G47" s="634">
        <f>SUM(G31:G46)</f>
        <v>0</v>
      </c>
      <c r="H47" s="2"/>
      <c r="I47" s="2"/>
      <c r="J47" s="2"/>
      <c r="K47" s="630" t="s">
        <v>430</v>
      </c>
      <c r="L47" s="623"/>
      <c r="M47" s="631" t="s">
        <v>143</v>
      </c>
      <c r="N47" s="638"/>
      <c r="O47" s="632"/>
      <c r="P47" s="638"/>
      <c r="Q47" s="633"/>
      <c r="R47" s="632"/>
      <c r="S47" s="634">
        <f>SUM(S31:S46)</f>
        <v>0</v>
      </c>
      <c r="T47" s="2"/>
      <c r="U47" s="2"/>
      <c r="V47" s="2"/>
      <c r="W47" s="630" t="s">
        <v>430</v>
      </c>
      <c r="Y47" s="631" t="s">
        <v>143</v>
      </c>
      <c r="Z47" s="632"/>
      <c r="AA47" s="632"/>
      <c r="AB47" s="632"/>
      <c r="AC47" s="633"/>
      <c r="AD47" s="632"/>
      <c r="AE47" s="634">
        <f>SUM(AE31:AE46)</f>
        <v>0</v>
      </c>
      <c r="AF47" s="2"/>
      <c r="AG47" s="2"/>
      <c r="AH47" s="2"/>
      <c r="AI47" s="630" t="s">
        <v>430</v>
      </c>
    </row>
    <row r="48" spans="1:35" s="60" customFormat="1" ht="16.2" customHeight="1" thickTop="1">
      <c r="A48" s="575"/>
      <c r="B48" s="274"/>
      <c r="C48" s="132"/>
      <c r="D48" s="132"/>
      <c r="E48" s="132"/>
      <c r="F48" s="132"/>
      <c r="G48" s="130"/>
      <c r="H48" s="2"/>
      <c r="I48" s="2"/>
      <c r="J48" s="2"/>
      <c r="K48" s="635" t="s">
        <v>428</v>
      </c>
      <c r="L48" s="992"/>
      <c r="M48" s="575"/>
      <c r="N48" s="132"/>
      <c r="O48" s="132"/>
      <c r="P48" s="132"/>
      <c r="Q48" s="132"/>
      <c r="R48" s="132"/>
      <c r="S48" s="130"/>
      <c r="T48" s="2"/>
      <c r="U48" s="2"/>
      <c r="V48" s="2"/>
      <c r="W48" s="635" t="s">
        <v>428</v>
      </c>
      <c r="X48" s="992"/>
      <c r="Y48" s="575"/>
      <c r="Z48" s="132"/>
      <c r="AA48" s="132"/>
      <c r="AB48" s="132"/>
      <c r="AC48" s="132"/>
      <c r="AD48" s="132"/>
      <c r="AE48" s="130"/>
      <c r="AF48" s="2"/>
      <c r="AG48" s="2"/>
      <c r="AH48" s="2"/>
      <c r="AI48" s="635" t="s">
        <v>428</v>
      </c>
    </row>
    <row r="49" spans="1:35" s="60" customFormat="1" ht="16.2" customHeight="1" thickBot="1">
      <c r="A49" s="21"/>
      <c r="C49" s="2"/>
      <c r="D49" s="2"/>
      <c r="E49" s="2"/>
      <c r="F49" s="2"/>
      <c r="G49" s="2"/>
      <c r="H49" s="2"/>
      <c r="I49" s="2"/>
      <c r="J49" s="2"/>
      <c r="K49" s="636"/>
      <c r="L49" s="992"/>
      <c r="M49" s="21"/>
      <c r="N49" s="2"/>
      <c r="O49" s="2"/>
      <c r="P49" s="2"/>
      <c r="Q49" s="2"/>
      <c r="R49" s="2"/>
      <c r="S49" s="2"/>
      <c r="T49" s="2"/>
      <c r="U49" s="2"/>
      <c r="V49" s="2"/>
      <c r="W49" s="636"/>
      <c r="X49" s="992"/>
      <c r="Y49" s="21"/>
      <c r="Z49" s="2"/>
      <c r="AA49" s="2"/>
      <c r="AB49" s="2"/>
      <c r="AC49" s="2"/>
      <c r="AD49" s="2"/>
      <c r="AE49" s="2"/>
      <c r="AF49" s="2"/>
      <c r="AG49" s="2"/>
      <c r="AH49" s="2"/>
      <c r="AI49" s="636"/>
    </row>
    <row r="50" spans="1:35" s="60" customFormat="1" ht="16.5" customHeight="1" thickBot="1">
      <c r="A50" s="981" t="s">
        <v>141</v>
      </c>
      <c r="B50" s="982"/>
      <c r="C50" s="982"/>
      <c r="D50" s="982"/>
      <c r="E50" s="982"/>
      <c r="F50" s="982"/>
      <c r="G50" s="982"/>
      <c r="H50" s="982"/>
      <c r="I50" s="982"/>
      <c r="J50" s="982"/>
      <c r="K50" s="983"/>
      <c r="L50" s="629"/>
      <c r="M50" s="981" t="s">
        <v>141</v>
      </c>
      <c r="N50" s="982"/>
      <c r="O50" s="982"/>
      <c r="P50" s="982"/>
      <c r="Q50" s="982"/>
      <c r="R50" s="982"/>
      <c r="S50" s="982"/>
      <c r="T50" s="982"/>
      <c r="U50" s="982"/>
      <c r="V50" s="982"/>
      <c r="W50" s="983"/>
      <c r="X50" s="639"/>
      <c r="Y50" s="981" t="s">
        <v>141</v>
      </c>
      <c r="Z50" s="982"/>
      <c r="AA50" s="982"/>
      <c r="AB50" s="982"/>
      <c r="AC50" s="982"/>
      <c r="AD50" s="982"/>
      <c r="AE50" s="982"/>
      <c r="AF50" s="982"/>
      <c r="AG50" s="982"/>
      <c r="AH50" s="982"/>
      <c r="AI50" s="983"/>
    </row>
    <row r="51" spans="1:35" s="60" customFormat="1" ht="31.2">
      <c r="A51" s="36" t="s">
        <v>140</v>
      </c>
      <c r="B51" s="37" t="s">
        <v>118</v>
      </c>
      <c r="C51" s="38" t="s">
        <v>119</v>
      </c>
      <c r="D51" s="39" t="s">
        <v>12</v>
      </c>
      <c r="E51" s="39" t="s">
        <v>120</v>
      </c>
      <c r="F51" s="37" t="s">
        <v>11</v>
      </c>
      <c r="G51" s="39" t="s">
        <v>121</v>
      </c>
      <c r="H51" s="2"/>
      <c r="I51" s="2"/>
      <c r="J51" s="2"/>
      <c r="K51" s="58"/>
      <c r="L51" s="62"/>
      <c r="M51" s="36" t="s">
        <v>140</v>
      </c>
      <c r="N51" s="37" t="s">
        <v>118</v>
      </c>
      <c r="O51" s="38" t="s">
        <v>119</v>
      </c>
      <c r="P51" s="39" t="s">
        <v>12</v>
      </c>
      <c r="Q51" s="39" t="s">
        <v>120</v>
      </c>
      <c r="R51" s="37" t="s">
        <v>11</v>
      </c>
      <c r="S51" s="39" t="s">
        <v>121</v>
      </c>
      <c r="T51" s="2"/>
      <c r="U51" s="2"/>
      <c r="V51" s="2"/>
      <c r="W51" s="58"/>
      <c r="X51" s="2"/>
      <c r="Y51" s="36" t="s">
        <v>140</v>
      </c>
      <c r="Z51" s="37" t="s">
        <v>118</v>
      </c>
      <c r="AA51" s="38" t="s">
        <v>119</v>
      </c>
      <c r="AB51" s="39" t="s">
        <v>12</v>
      </c>
      <c r="AC51" s="39" t="s">
        <v>120</v>
      </c>
      <c r="AD51" s="37" t="s">
        <v>11</v>
      </c>
      <c r="AE51" s="39" t="s">
        <v>121</v>
      </c>
      <c r="AF51" s="2"/>
      <c r="AG51" s="2"/>
      <c r="AH51" s="2"/>
      <c r="AI51" s="58"/>
    </row>
    <row r="52" spans="1:35" s="60" customFormat="1" ht="15.6">
      <c r="A52" s="115" t="s">
        <v>758</v>
      </c>
      <c r="B52" s="57"/>
      <c r="C52" s="771"/>
      <c r="D52" s="45"/>
      <c r="E52" s="54" t="s">
        <v>146</v>
      </c>
      <c r="F52" s="50"/>
      <c r="G52" s="47"/>
      <c r="H52" s="2"/>
      <c r="I52" s="642" t="s">
        <v>108</v>
      </c>
      <c r="J52" s="642" t="s">
        <v>109</v>
      </c>
      <c r="K52" s="643" t="s">
        <v>110</v>
      </c>
      <c r="L52" s="2"/>
      <c r="M52" s="115" t="s">
        <v>758</v>
      </c>
      <c r="N52" s="57"/>
      <c r="O52" s="771"/>
      <c r="P52" s="45"/>
      <c r="Q52" s="54" t="s">
        <v>146</v>
      </c>
      <c r="R52" s="50"/>
      <c r="S52" s="47"/>
      <c r="T52" s="2"/>
      <c r="U52" s="642" t="s">
        <v>108</v>
      </c>
      <c r="V52" s="642" t="s">
        <v>109</v>
      </c>
      <c r="W52" s="643" t="s">
        <v>110</v>
      </c>
      <c r="X52" s="61"/>
      <c r="Y52" s="115" t="s">
        <v>758</v>
      </c>
      <c r="Z52" s="57"/>
      <c r="AA52" s="771"/>
      <c r="AB52" s="771"/>
      <c r="AC52" s="117" t="s">
        <v>146</v>
      </c>
      <c r="AD52" s="50"/>
      <c r="AE52" s="47"/>
      <c r="AF52" s="2"/>
      <c r="AG52" s="642" t="s">
        <v>108</v>
      </c>
      <c r="AH52" s="642" t="s">
        <v>109</v>
      </c>
      <c r="AI52" s="643" t="s">
        <v>110</v>
      </c>
    </row>
    <row r="53" spans="1:35" s="60" customFormat="1" ht="15.6">
      <c r="A53" s="615" t="s">
        <v>13</v>
      </c>
      <c r="B53" s="616" t="str">
        <f t="shared" ref="B53:B58" si="30">VLOOKUP(A53,Macronutrients,17,FALSE)</f>
        <v>None</v>
      </c>
      <c r="C53" s="617">
        <f t="shared" ref="C53:C58" si="31">VLOOKUP(A53,Macronutrients,18,FALSE)</f>
        <v>0</v>
      </c>
      <c r="D53" s="616">
        <f t="shared" ref="D53:D58" si="32">VLOOKUP(A53,Macronutrients,16,FALSE)</f>
        <v>1</v>
      </c>
      <c r="E53" s="618">
        <v>0</v>
      </c>
      <c r="F53" s="619">
        <f t="shared" ref="F53:F58" si="33">VLOOKUP(A53,Macronutrients,15,FALSE)</f>
        <v>0</v>
      </c>
      <c r="G53" s="47">
        <f t="shared" ref="G53:G58" si="34">(E53*VLOOKUP(A53,Macronutrients,14,FALSE)/D53)*C53</f>
        <v>0</v>
      </c>
      <c r="H53" s="2"/>
      <c r="I53" s="621">
        <f>VLOOKUP(A53,Macronutrients,2,FALSE)*E53+VLOOKUP(A54,Macronutrients,2,FALSE)*E54+VLOOKUP(A55,Macronutrients,2,FALSE)*E55+VLOOKUP(A56,Macronutrients,2,FALSE)*E56+VLOOKUP(A57,Macronutrients,2,FALSE)*E57+VLOOKUP(A58,Macronutrients,2,FALSE)*E58+VLOOKUP(A61,Micronutrients,2,FALSE)*E61+VLOOKUP(A62,Micronutrients,2,FALSE)*E62+VLOOKUP(A63,Micronutrients,2,FALSE)*E63+VLOOKUP(A64,Micronutrients,2,FALSE)*E64</f>
        <v>0</v>
      </c>
      <c r="J53" s="621">
        <f>VLOOKUP(A53,Macronutrients,3,FALSE)*E53+VLOOKUP(A54,Macronutrients,3,FALSE)*E54+VLOOKUP(A55,Macronutrients,3,FALSE)*E55+VLOOKUP(A56,Macronutrients,3,FALSE)*E56+VLOOKUP(A57,Macronutrients,3,FALSE)*E57+VLOOKUP(A58,Macronutrients,3,FALSE)*E58+VLOOKUP(A61,Micronutrients,3,FALSE)*E61+VLOOKUP(A62,Micronutrients,3,FALSE)*E62+VLOOKUP(A63,Micronutrients,3,FALSE)*E63+VLOOKUP(A64,Micronutrients,3,FALSE)*E64</f>
        <v>0</v>
      </c>
      <c r="K53" s="622">
        <f>VLOOKUP(A53,Macronutrients,4,FALSE)*E53+VLOOKUP(A54,Macronutrients,4,FALSE)*E54+VLOOKUP(A55,Macronutrients,4,FALSE)*E55+VLOOKUP(A56,Macronutrients,4,FALSE)*E56+VLOOKUP(A57,Macronutrients,4,FALSE)*E57+VLOOKUP(A58,Macronutrients,4,FALSE)*E58+VLOOKUP(A61,Micronutrients,4,FALSE)*E61+VLOOKUP(A62,Micronutrients,4,FALSE)*E62+VLOOKUP(A63,Micronutrients,4,FALSE)*E63+VLOOKUP(A64,Micronutrients,4,FALSE)*E64</f>
        <v>0</v>
      </c>
      <c r="M53" s="615" t="s">
        <v>13</v>
      </c>
      <c r="N53" s="616" t="str">
        <f t="shared" ref="N53:N58" si="35">VLOOKUP(M53,Macronutrients,17,FALSE)</f>
        <v>None</v>
      </c>
      <c r="O53" s="617">
        <f t="shared" ref="O53:O58" si="36">VLOOKUP(M53,Macronutrients,18,FALSE)</f>
        <v>0</v>
      </c>
      <c r="P53" s="616">
        <f t="shared" ref="P53:P58" si="37">VLOOKUP(M53,Macronutrients,16,FALSE)</f>
        <v>1</v>
      </c>
      <c r="Q53" s="618">
        <v>0</v>
      </c>
      <c r="R53" s="619">
        <f t="shared" ref="R53:R58" si="38">VLOOKUP(M53,Macronutrients,15,FALSE)</f>
        <v>0</v>
      </c>
      <c r="S53" s="47">
        <f t="shared" ref="S53:S58" si="39">(Q53*VLOOKUP(M53,Macronutrients,14,FALSE)/P53)*O53</f>
        <v>0</v>
      </c>
      <c r="T53" s="2"/>
      <c r="U53" s="621">
        <f>VLOOKUP(M53,Macronutrients,2,FALSE)*Q53+VLOOKUP(M54,Macronutrients,2,FALSE)*Q54+VLOOKUP(M55,Macronutrients,2,FALSE)*Q55+VLOOKUP(M56,Macronutrients,2,FALSE)*Q56+VLOOKUP(M57,Macronutrients,2,FALSE)*Q57+VLOOKUP(M58,Macronutrients,2,FALSE)*Q58+VLOOKUP(M61,Micronutrients,2,FALSE)*Q61+VLOOKUP(M62,Micronutrients,2,FALSE)*Q62+VLOOKUP(M63,Micronutrients,2,FALSE)*Q63+VLOOKUP(M64,Micronutrients,2,FALSE)*Q64</f>
        <v>0</v>
      </c>
      <c r="V53" s="621">
        <f>VLOOKUP(M53,Macronutrients,3,FALSE)*Q53+VLOOKUP(M54,Macronutrients,3,FALSE)*Q54+VLOOKUP(M55,Macronutrients,3,FALSE)*Q55+VLOOKUP(M56,Macronutrients,3,FALSE)*Q56+VLOOKUP(M57,Macronutrients,3,FALSE)*Q57+VLOOKUP(M58,Macronutrients,3,FALSE)*Q58+VLOOKUP(M61,Micronutrients,3,FALSE)*Q61+VLOOKUP(M62,Micronutrients,3,FALSE)*Q62+VLOOKUP(M63,Micronutrients,3,FALSE)*Q63+VLOOKUP(M64,Micronutrients,3,FALSE)*Q64</f>
        <v>0</v>
      </c>
      <c r="W53" s="622">
        <f>VLOOKUP(M53,Macronutrients,4,FALSE)*Q53+VLOOKUP(M54,Macronutrients,4,FALSE)*Q54+VLOOKUP(M55,Macronutrients,4,FALSE)*Q55+VLOOKUP(M56,Macronutrients,4,FALSE)*Q56+VLOOKUP(M57,Macronutrients,4,FALSE)*Q57+VLOOKUP(M58,Macronutrients,4,FALSE)*Q58+VLOOKUP(M61,Micronutrients,4,FALSE)*Q61+VLOOKUP(M62,Micronutrients,4,FALSE)*Q62+VLOOKUP(M63,Micronutrients,4,FALSE)*Q63+VLOOKUP(M64,Micronutrients,4,FALSE)*Q64</f>
        <v>0</v>
      </c>
      <c r="X53" s="623"/>
      <c r="Y53" s="615" t="s">
        <v>13</v>
      </c>
      <c r="Z53" s="616" t="str">
        <f t="shared" ref="Z53:Z58" si="40">VLOOKUP(Y53,Macronutrients,17,FALSE)</f>
        <v>None</v>
      </c>
      <c r="AA53" s="617">
        <f t="shared" ref="AA53:AA58" si="41">VLOOKUP(Y53,Macronutrients,18,FALSE)</f>
        <v>0</v>
      </c>
      <c r="AB53" s="616">
        <f t="shared" ref="AB53:AB58" si="42">VLOOKUP(Y53,Macronutrients,16,FALSE)</f>
        <v>1</v>
      </c>
      <c r="AC53" s="618">
        <v>0</v>
      </c>
      <c r="AD53" s="619">
        <f t="shared" ref="AD53:AD58" si="43">VLOOKUP(Y53,Macronutrients,15,FALSE)</f>
        <v>0</v>
      </c>
      <c r="AE53" s="47">
        <f t="shared" ref="AE53:AE58" si="44">(AC53*VLOOKUP(Y53,Macronutrients,14,FALSE)/AB53)*AA53</f>
        <v>0</v>
      </c>
      <c r="AF53" s="2"/>
      <c r="AG53" s="621">
        <f>VLOOKUP(Y53,Macronutrients,2,FALSE)*AC53+VLOOKUP(Y54,Macronutrients,2,FALSE)*AC54+VLOOKUP(Y55,Macronutrients,2,FALSE)*AC55+VLOOKUP(Y56,Macronutrients,2,FALSE)*AC56+VLOOKUP(Y57,Macronutrients,2,FALSE)*AC57+VLOOKUP(Y58,Macronutrients,2,FALSE)*AC58+VLOOKUP(Y61,Micronutrients,2,FALSE)*AC61+VLOOKUP(Y62,Micronutrients,2,FALSE)*AC62+VLOOKUP(Y63,Micronutrients,2,FALSE)*AC63+VLOOKUP(Y64,Micronutrients,2,FALSE)*AC64</f>
        <v>0</v>
      </c>
      <c r="AH53" s="621">
        <f>VLOOKUP(Y53,Macronutrients,3,FALSE)*AC53+VLOOKUP(Y54,Macronutrients,3,FALSE)*AC54+VLOOKUP(Y55,Macronutrients,3,FALSE)*AC55+VLOOKUP(Y56,Macronutrients,3,FALSE)*AC56+VLOOKUP(Y57,Macronutrients,3,FALSE)*AC57+VLOOKUP(Y58,Macronutrients,3,FALSE)*AC58+VLOOKUP(Y61,Micronutrients,3,FALSE)*AC61+VLOOKUP(Y62,Micronutrients,3,FALSE)*AC62+VLOOKUP(Y63,Micronutrients,3,FALSE)*AC63+VLOOKUP(Y64,Micronutrients,3,FALSE)*AC64</f>
        <v>0</v>
      </c>
      <c r="AI53" s="622">
        <f>VLOOKUP(Y53,Macronutrients,4,FALSE)*AC53+VLOOKUP(Y54,Macronutrients,4,FALSE)*AC54+VLOOKUP(Y55,Macronutrients,4,FALSE)*AC55+VLOOKUP(Y56,Macronutrients,4,FALSE)*AC56+VLOOKUP(Y57,Macronutrients,4,FALSE)*AC57+VLOOKUP(Y58,Macronutrients,4,FALSE)*AC58+VLOOKUP(Y61,Micronutrients,4,FALSE)*AC61+VLOOKUP(Y62,Micronutrients,4,FALSE)*AC62+VLOOKUP(Y63,Micronutrients,4,FALSE)*AC63+VLOOKUP(Y64,Micronutrients,4,FALSE)*AC64</f>
        <v>0</v>
      </c>
    </row>
    <row r="54" spans="1:35" s="60" customFormat="1" ht="15.6">
      <c r="A54" s="615" t="s">
        <v>13</v>
      </c>
      <c r="B54" s="616" t="str">
        <f t="shared" si="30"/>
        <v>None</v>
      </c>
      <c r="C54" s="617">
        <f t="shared" si="31"/>
        <v>0</v>
      </c>
      <c r="D54" s="616">
        <f t="shared" si="32"/>
        <v>1</v>
      </c>
      <c r="E54" s="618">
        <v>0</v>
      </c>
      <c r="F54" s="619">
        <f t="shared" si="33"/>
        <v>0</v>
      </c>
      <c r="G54" s="47">
        <f t="shared" si="34"/>
        <v>0</v>
      </c>
      <c r="H54" s="2"/>
      <c r="I54" s="624"/>
      <c r="J54" s="624"/>
      <c r="K54" s="625"/>
      <c r="M54" s="615" t="s">
        <v>13</v>
      </c>
      <c r="N54" s="616" t="str">
        <f t="shared" si="35"/>
        <v>None</v>
      </c>
      <c r="O54" s="617">
        <f t="shared" si="36"/>
        <v>0</v>
      </c>
      <c r="P54" s="616">
        <f t="shared" si="37"/>
        <v>1</v>
      </c>
      <c r="Q54" s="618">
        <v>0</v>
      </c>
      <c r="R54" s="619">
        <f t="shared" si="38"/>
        <v>0</v>
      </c>
      <c r="S54" s="47">
        <f t="shared" si="39"/>
        <v>0</v>
      </c>
      <c r="T54" s="2"/>
      <c r="U54" s="624"/>
      <c r="V54" s="624"/>
      <c r="W54" s="625"/>
      <c r="X54" s="217"/>
      <c r="Y54" s="615" t="s">
        <v>13</v>
      </c>
      <c r="Z54" s="616" t="str">
        <f t="shared" si="40"/>
        <v>None</v>
      </c>
      <c r="AA54" s="617">
        <f t="shared" si="41"/>
        <v>0</v>
      </c>
      <c r="AB54" s="616">
        <f t="shared" si="42"/>
        <v>1</v>
      </c>
      <c r="AC54" s="618">
        <v>0</v>
      </c>
      <c r="AD54" s="619">
        <f t="shared" si="43"/>
        <v>0</v>
      </c>
      <c r="AE54" s="47">
        <f t="shared" si="44"/>
        <v>0</v>
      </c>
      <c r="AF54" s="2"/>
      <c r="AG54" s="624"/>
      <c r="AH54" s="624"/>
      <c r="AI54" s="625"/>
    </row>
    <row r="55" spans="1:35" s="60" customFormat="1" ht="15.6">
      <c r="A55" s="615" t="s">
        <v>13</v>
      </c>
      <c r="B55" s="616" t="str">
        <f t="shared" si="30"/>
        <v>None</v>
      </c>
      <c r="C55" s="617">
        <f t="shared" si="31"/>
        <v>0</v>
      </c>
      <c r="D55" s="616">
        <f t="shared" si="32"/>
        <v>1</v>
      </c>
      <c r="E55" s="618">
        <v>0</v>
      </c>
      <c r="F55" s="619">
        <f t="shared" si="33"/>
        <v>0</v>
      </c>
      <c r="G55" s="47">
        <f t="shared" si="34"/>
        <v>0</v>
      </c>
      <c r="H55" s="2"/>
      <c r="I55" s="642" t="s">
        <v>111</v>
      </c>
      <c r="J55" s="642" t="s">
        <v>112</v>
      </c>
      <c r="K55" s="643" t="s">
        <v>113</v>
      </c>
      <c r="M55" s="615" t="s">
        <v>13</v>
      </c>
      <c r="N55" s="616" t="str">
        <f t="shared" si="35"/>
        <v>None</v>
      </c>
      <c r="O55" s="617">
        <f t="shared" si="36"/>
        <v>0</v>
      </c>
      <c r="P55" s="616">
        <f t="shared" si="37"/>
        <v>1</v>
      </c>
      <c r="Q55" s="618">
        <v>0</v>
      </c>
      <c r="R55" s="619">
        <f t="shared" si="38"/>
        <v>0</v>
      </c>
      <c r="S55" s="47">
        <f t="shared" si="39"/>
        <v>0</v>
      </c>
      <c r="T55" s="2"/>
      <c r="U55" s="642" t="s">
        <v>111</v>
      </c>
      <c r="V55" s="642" t="s">
        <v>112</v>
      </c>
      <c r="W55" s="643" t="s">
        <v>113</v>
      </c>
      <c r="X55" s="626"/>
      <c r="Y55" s="615" t="s">
        <v>13</v>
      </c>
      <c r="Z55" s="616" t="str">
        <f t="shared" si="40"/>
        <v>None</v>
      </c>
      <c r="AA55" s="617">
        <f t="shared" si="41"/>
        <v>0</v>
      </c>
      <c r="AB55" s="616">
        <f t="shared" si="42"/>
        <v>1</v>
      </c>
      <c r="AC55" s="618">
        <v>0</v>
      </c>
      <c r="AD55" s="619">
        <f t="shared" si="43"/>
        <v>0</v>
      </c>
      <c r="AE55" s="47">
        <f t="shared" si="44"/>
        <v>0</v>
      </c>
      <c r="AF55" s="2"/>
      <c r="AG55" s="642" t="s">
        <v>111</v>
      </c>
      <c r="AH55" s="642" t="s">
        <v>112</v>
      </c>
      <c r="AI55" s="643" t="s">
        <v>113</v>
      </c>
    </row>
    <row r="56" spans="1:35" s="60" customFormat="1" ht="15.6">
      <c r="A56" s="615" t="s">
        <v>13</v>
      </c>
      <c r="B56" s="616" t="str">
        <f t="shared" si="30"/>
        <v>None</v>
      </c>
      <c r="C56" s="617">
        <f t="shared" si="31"/>
        <v>0</v>
      </c>
      <c r="D56" s="616">
        <f t="shared" si="32"/>
        <v>1</v>
      </c>
      <c r="E56" s="618">
        <v>0</v>
      </c>
      <c r="F56" s="619">
        <f t="shared" si="33"/>
        <v>0</v>
      </c>
      <c r="G56" s="47">
        <f t="shared" si="34"/>
        <v>0</v>
      </c>
      <c r="H56" s="2"/>
      <c r="I56" s="621">
        <f>VLOOKUP(A53,Macronutrients,5,FALSE)*E53+VLOOKUP(A54,Macronutrients,5,FALSE)*E54+VLOOKUP(A55,Macronutrients,5,FALSE)*E55+VLOOKUP(A56,Macronutrients,5,FALSE)*E56+VLOOKUP(A57,Macronutrients,5,FALSE)*E57+VLOOKUP(A58,Macronutrients,5,FALSE)*E58+VLOOKUP(A61,Micronutrients,5,FALSE)*E61+VLOOKUP(A62,Micronutrients,5,FALSE)*E62+VLOOKUP(A63,Micronutrients,5,FALSE)*E63+VLOOKUP(A64,Micronutrients,5,FALSE)*E64</f>
        <v>0</v>
      </c>
      <c r="J56" s="621">
        <f>VLOOKUP(A53,Macronutrients,7,FALSE)*E53+VLOOKUP(A54,Macronutrients,7,FALSE)*E54+VLOOKUP(A55,Macronutrients,7,FALSE)*E55+VLOOKUP(A56,Macronutrients,7,FALSE)*E56+VLOOKUP(A57,Macronutrients,7,FALSE)*E57+VLOOKUP(A58,Macronutrients,7,FALSE)*E58+VLOOKUP(A61,Micronutrients,7,FALSE)*E61+VLOOKUP(A62,Micronutrients,7,FALSE)*E62+VLOOKUP(A63,Micronutrients,7,FALSE)*E63+VLOOKUP(A64,Micronutrients,7,FALSE)*E64</f>
        <v>0</v>
      </c>
      <c r="K56" s="622">
        <f>VLOOKUP($A53,Macronutrients,6,FALSE)*$E$6+VLOOKUP($A54,Macronutrients,6,FALSE)*$E$7+VLOOKUP($A55,Macronutrients,6,FALSE)*$E$8+VLOOKUP($A56,Macronutrients,6,FALSE)*$E$9+VLOOKUP($A57,Macronutrients,6,FALSE)*$E$10+VLOOKUP($A58,Macronutrients,6,FALSE)*$E$11+VLOOKUP($A61,Micronutrients,6,FALSE)*$E$14+VLOOKUP($A62,Micronutrients,6,FALSE)*E62+VLOOKUP($A63,Micronutrients,6,FALSE)*$E$16+VLOOKUP($A64,Micronutrients,6,FALSE)*$E$17</f>
        <v>0</v>
      </c>
      <c r="M56" s="615" t="s">
        <v>13</v>
      </c>
      <c r="N56" s="616" t="str">
        <f t="shared" si="35"/>
        <v>None</v>
      </c>
      <c r="O56" s="617">
        <f t="shared" si="36"/>
        <v>0</v>
      </c>
      <c r="P56" s="616">
        <f t="shared" si="37"/>
        <v>1</v>
      </c>
      <c r="Q56" s="618">
        <v>0</v>
      </c>
      <c r="R56" s="619">
        <f t="shared" si="38"/>
        <v>0</v>
      </c>
      <c r="S56" s="47">
        <f t="shared" si="39"/>
        <v>0</v>
      </c>
      <c r="T56" s="2"/>
      <c r="U56" s="621">
        <f>VLOOKUP(M53,Macronutrients,5,FALSE)*Q53+VLOOKUP(M54,Macronutrients,5,FALSE)*Q54+VLOOKUP(M55,Macronutrients,5,FALSE)*Q55+VLOOKUP(M56,Macronutrients,5,FALSE)*Q56+VLOOKUP(M57,Macronutrients,5,FALSE)*Q57+VLOOKUP(M58,Macronutrients,5,FALSE)*Q58+VLOOKUP(M61,Micronutrients,5,FALSE)*Q61+VLOOKUP(M62,Micronutrients,5,FALSE)*Q62+VLOOKUP(M63,Micronutrients,5,FALSE)*Q63+VLOOKUP(M64,Micronutrients,5,FALSE)*Q64</f>
        <v>0</v>
      </c>
      <c r="V56" s="621">
        <f>VLOOKUP(M53,Macronutrients,7,FALSE)*Q53+VLOOKUP(M54,Macronutrients,7,FALSE)*Q54+VLOOKUP(M55,Macronutrients,7,FALSE)*Q55+VLOOKUP(M56,Macronutrients,7,FALSE)*Q56+VLOOKUP(M57,Macronutrients,7,FALSE)*Q57+VLOOKUP(M58,Macronutrients,7,FALSE)*Q58+VLOOKUP(M61,Micronutrients,7,FALSE)*Q61+VLOOKUP(M62,Micronutrients,7,FALSE)*Q62+VLOOKUP(M63,Micronutrients,7,FALSE)*Q63+VLOOKUP(M64,Micronutrients,7,FALSE)*Q64</f>
        <v>0</v>
      </c>
      <c r="W56" s="622">
        <f>VLOOKUP($A53,Macronutrients,6,FALSE)*$E$6+VLOOKUP($A54,Macronutrients,6,FALSE)*$E$7+VLOOKUP($A55,Macronutrients,6,FALSE)*$E$8+VLOOKUP($A56,Macronutrients,6,FALSE)*$E$9+VLOOKUP($A57,Macronutrients,6,FALSE)*$E$10+VLOOKUP($A58,Macronutrients,6,FALSE)*$E$11+VLOOKUP($A61,Micronutrients,6,FALSE)*$E$14+VLOOKUP($A62,Micronutrients,6,FALSE)*Q62+VLOOKUP($A63,Micronutrients,6,FALSE)*$E$16+VLOOKUP($A64,Micronutrients,6,FALSE)*$E$17</f>
        <v>0</v>
      </c>
      <c r="X56" s="623"/>
      <c r="Y56" s="615" t="s">
        <v>13</v>
      </c>
      <c r="Z56" s="616" t="str">
        <f t="shared" si="40"/>
        <v>None</v>
      </c>
      <c r="AA56" s="617">
        <f t="shared" si="41"/>
        <v>0</v>
      </c>
      <c r="AB56" s="616">
        <f t="shared" si="42"/>
        <v>1</v>
      </c>
      <c r="AC56" s="618">
        <v>0</v>
      </c>
      <c r="AD56" s="619">
        <f t="shared" si="43"/>
        <v>0</v>
      </c>
      <c r="AE56" s="47">
        <f t="shared" si="44"/>
        <v>0</v>
      </c>
      <c r="AF56" s="2"/>
      <c r="AG56" s="621">
        <f>VLOOKUP(Y53,Macronutrients,5,FALSE)*AC53+VLOOKUP(Y54,Macronutrients,5,FALSE)*AC54+VLOOKUP(Y55,Macronutrients,5,FALSE)*AC55+VLOOKUP(Y56,Macronutrients,5,FALSE)*AC56+VLOOKUP(Y57,Macronutrients,5,FALSE)*AC57+VLOOKUP(Y58,Macronutrients,5,FALSE)*AC58+VLOOKUP(Y61,Micronutrients,5,FALSE)*AC61+VLOOKUP(Y62,Micronutrients,5,FALSE)*AC62+VLOOKUP(Y63,Micronutrients,5,FALSE)*AC63+VLOOKUP(Y64,Micronutrients,5,FALSE)*AC64</f>
        <v>0</v>
      </c>
      <c r="AH56" s="621">
        <f>VLOOKUP(Y53,Macronutrients,7,FALSE)*AC53+VLOOKUP(Y54,Macronutrients,7,FALSE)*AC54+VLOOKUP(Y55,Macronutrients,7,FALSE)*AC55+VLOOKUP(Y56,Macronutrients,7,FALSE)*AC56+VLOOKUP(Y57,Macronutrients,7,FALSE)*AC57+VLOOKUP(Y58,Macronutrients,7,FALSE)*AC58+VLOOKUP(Y61,Micronutrients,7,FALSE)*AC61+VLOOKUP(Y62,Micronutrients,7,FALSE)*AC62+VLOOKUP(Y63,Micronutrients,7,FALSE)*AC63+VLOOKUP(Y64,Micronutrients,7,FALSE)*AC64</f>
        <v>0</v>
      </c>
      <c r="AI56" s="622">
        <f>VLOOKUP($A53,Macronutrients,6,FALSE)*$E$6+VLOOKUP($A54,Macronutrients,6,FALSE)*$E$7+VLOOKUP($A55,Macronutrients,6,FALSE)*$E$8+VLOOKUP($A56,Macronutrients,6,FALSE)*$E$9+VLOOKUP($A57,Macronutrients,6,FALSE)*$E$10+VLOOKUP($A58,Macronutrients,6,FALSE)*$E$11+VLOOKUP($A61,Micronutrients,6,FALSE)*$E$14+VLOOKUP($A62,Micronutrients,6,FALSE)*AC62+VLOOKUP($A63,Micronutrients,6,FALSE)*$E$16+VLOOKUP($A64,Micronutrients,6,FALSE)*$E$17</f>
        <v>0</v>
      </c>
    </row>
    <row r="57" spans="1:35" s="60" customFormat="1" ht="15.6">
      <c r="A57" s="615" t="s">
        <v>13</v>
      </c>
      <c r="B57" s="616" t="str">
        <f t="shared" si="30"/>
        <v>None</v>
      </c>
      <c r="C57" s="617">
        <f t="shared" si="31"/>
        <v>0</v>
      </c>
      <c r="D57" s="616">
        <f t="shared" si="32"/>
        <v>1</v>
      </c>
      <c r="E57" s="618">
        <v>0</v>
      </c>
      <c r="F57" s="619">
        <f t="shared" si="33"/>
        <v>0</v>
      </c>
      <c r="G57" s="47">
        <f t="shared" si="34"/>
        <v>0</v>
      </c>
      <c r="H57" s="2"/>
      <c r="I57" s="624"/>
      <c r="J57" s="624"/>
      <c r="K57" s="625"/>
      <c r="M57" s="615" t="s">
        <v>13</v>
      </c>
      <c r="N57" s="616" t="str">
        <f t="shared" si="35"/>
        <v>None</v>
      </c>
      <c r="O57" s="617">
        <f t="shared" si="36"/>
        <v>0</v>
      </c>
      <c r="P57" s="616">
        <f t="shared" si="37"/>
        <v>1</v>
      </c>
      <c r="Q57" s="618">
        <v>0</v>
      </c>
      <c r="R57" s="619">
        <f t="shared" si="38"/>
        <v>0</v>
      </c>
      <c r="S57" s="47">
        <f t="shared" si="39"/>
        <v>0</v>
      </c>
      <c r="T57" s="2"/>
      <c r="U57" s="624"/>
      <c r="V57" s="624"/>
      <c r="W57" s="625"/>
      <c r="X57" s="217"/>
      <c r="Y57" s="615" t="s">
        <v>13</v>
      </c>
      <c r="Z57" s="616" t="str">
        <f t="shared" si="40"/>
        <v>None</v>
      </c>
      <c r="AA57" s="617">
        <f t="shared" si="41"/>
        <v>0</v>
      </c>
      <c r="AB57" s="616">
        <f t="shared" si="42"/>
        <v>1</v>
      </c>
      <c r="AC57" s="618">
        <v>0</v>
      </c>
      <c r="AD57" s="619">
        <f t="shared" si="43"/>
        <v>0</v>
      </c>
      <c r="AE57" s="47">
        <f t="shared" si="44"/>
        <v>0</v>
      </c>
      <c r="AF57" s="2"/>
      <c r="AG57" s="624"/>
      <c r="AH57" s="624"/>
      <c r="AI57" s="625"/>
    </row>
    <row r="58" spans="1:35" s="60" customFormat="1" ht="15.6">
      <c r="A58" s="615" t="s">
        <v>13</v>
      </c>
      <c r="B58" s="616" t="str">
        <f t="shared" si="30"/>
        <v>None</v>
      </c>
      <c r="C58" s="617">
        <f t="shared" si="31"/>
        <v>0</v>
      </c>
      <c r="D58" s="616">
        <f t="shared" si="32"/>
        <v>1</v>
      </c>
      <c r="E58" s="618">
        <v>0</v>
      </c>
      <c r="F58" s="619">
        <f t="shared" si="33"/>
        <v>0</v>
      </c>
      <c r="G58" s="47">
        <f t="shared" si="34"/>
        <v>0</v>
      </c>
      <c r="H58" s="2"/>
      <c r="I58" s="642" t="s">
        <v>114</v>
      </c>
      <c r="J58" s="642" t="s">
        <v>115</v>
      </c>
      <c r="K58" s="643" t="s">
        <v>116</v>
      </c>
      <c r="M58" s="615" t="s">
        <v>13</v>
      </c>
      <c r="N58" s="616" t="str">
        <f t="shared" si="35"/>
        <v>None</v>
      </c>
      <c r="O58" s="617">
        <f t="shared" si="36"/>
        <v>0</v>
      </c>
      <c r="P58" s="616">
        <f t="shared" si="37"/>
        <v>1</v>
      </c>
      <c r="Q58" s="618">
        <v>0</v>
      </c>
      <c r="R58" s="619">
        <f t="shared" si="38"/>
        <v>0</v>
      </c>
      <c r="S58" s="47">
        <f t="shared" si="39"/>
        <v>0</v>
      </c>
      <c r="T58" s="2"/>
      <c r="U58" s="642" t="s">
        <v>114</v>
      </c>
      <c r="V58" s="642" t="s">
        <v>115</v>
      </c>
      <c r="W58" s="643" t="s">
        <v>116</v>
      </c>
      <c r="X58" s="626"/>
      <c r="Y58" s="615" t="s">
        <v>13</v>
      </c>
      <c r="Z58" s="616" t="str">
        <f t="shared" si="40"/>
        <v>None</v>
      </c>
      <c r="AA58" s="617">
        <f t="shared" si="41"/>
        <v>0</v>
      </c>
      <c r="AB58" s="616">
        <f t="shared" si="42"/>
        <v>1</v>
      </c>
      <c r="AC58" s="618">
        <v>0</v>
      </c>
      <c r="AD58" s="619">
        <f t="shared" si="43"/>
        <v>0</v>
      </c>
      <c r="AE58" s="47">
        <f t="shared" si="44"/>
        <v>0</v>
      </c>
      <c r="AF58" s="2"/>
      <c r="AG58" s="642" t="s">
        <v>114</v>
      </c>
      <c r="AH58" s="642" t="s">
        <v>115</v>
      </c>
      <c r="AI58" s="643" t="s">
        <v>116</v>
      </c>
    </row>
    <row r="59" spans="1:35" s="60" customFormat="1" ht="15.6">
      <c r="A59" s="627"/>
      <c r="B59" s="47"/>
      <c r="C59" s="617"/>
      <c r="D59" s="619"/>
      <c r="E59" s="122"/>
      <c r="F59" s="619"/>
      <c r="G59" s="47"/>
      <c r="H59" s="2"/>
      <c r="I59" s="750">
        <f>VLOOKUP(A53,Macronutrients,8,FALSE)*E53+VLOOKUP(A54,Macronutrients,8,FALSE)*E54+VLOOKUP(A55,Macronutrients,8,FALSE)*E55+VLOOKUP(A56,Macronutrients,8,FALSE)*E56+VLOOKUP(A57,Macronutrients,8,FALSE)*E57+VLOOKUP(A58,Macronutrients,8,FALSE)*E58+VLOOKUP(A61,Micronutrients,8,FALSE)*E61+VLOOKUP(A62,Micronutrients,8,FALSE)*E62+VLOOKUP(A63,Micronutrients,8,FALSE)*E63+VLOOKUP(A64,Micronutrients,8,FALSE)*E64</f>
        <v>0</v>
      </c>
      <c r="J59" s="750">
        <f>VLOOKUP(A53,Macronutrients,9,FALSE)*E53+VLOOKUP(A54,Macronutrients,9,FALSE)*E54+VLOOKUP(A55,Macronutrients,9,FALSE)*E55+VLOOKUP(A56,Macronutrients,9,FALSE)*E56+VLOOKUP(A57,Macronutrients,9,FALSE)*E57+VLOOKUP(A58,Macronutrients,9,FALSE)*E58+VLOOKUP(A61,Micronutrients,9,FALSE)*E61+VLOOKUP(A62,Micronutrients,9,FALSE)*E62+VLOOKUP(A63,Micronutrients,9,FALSE)*E63+VLOOKUP(A64,Micronutrients,9,FALSE)*E64</f>
        <v>0</v>
      </c>
      <c r="K59" s="772">
        <f>VLOOKUP(A53,Macronutrients,10,FALSE)*E53+VLOOKUP(A54,Macronutrients,10,FALSE)*E54+VLOOKUP(A55,Macronutrients,10,FALSE)*E55+VLOOKUP(A56,Macronutrients,10,FALSE)*E56+VLOOKUP(A57,Macronutrients,10,FALSE)*E57+VLOOKUP(A58,Macronutrients,10,FALSE)*E58+VLOOKUP(A61,Micronutrients,10,FALSE)*E61+VLOOKUP(A62,Micronutrients,10,FALSE)*E62+VLOOKUP(A63,Micronutrients,10,FALSE)*E63+VLOOKUP(A64,Micronutrients,10,FALSE)*E64</f>
        <v>0</v>
      </c>
      <c r="M59" s="627"/>
      <c r="N59" s="17"/>
      <c r="O59" s="617"/>
      <c r="P59" s="616"/>
      <c r="Q59" s="628"/>
      <c r="R59" s="619"/>
      <c r="S59" s="47"/>
      <c r="T59" s="2"/>
      <c r="U59" s="750">
        <f>VLOOKUP(M53,Macronutrients,8,FALSE)*Q53+VLOOKUP(M54,Macronutrients,8,FALSE)*Q54+VLOOKUP(M55,Macronutrients,8,FALSE)*Q55+VLOOKUP(M56,Macronutrients,8,FALSE)*Q56+VLOOKUP(M57,Macronutrients,8,FALSE)*Q57+VLOOKUP(M58,Macronutrients,8,FALSE)*Q58+VLOOKUP(M61,Micronutrients,8,FALSE)*Q61+VLOOKUP(M62,Micronutrients,8,FALSE)*Q62+VLOOKUP(M63,Micronutrients,8,FALSE)*Q63+VLOOKUP(M64,Micronutrients,8,FALSE)*Q64</f>
        <v>0</v>
      </c>
      <c r="V59" s="750">
        <f>VLOOKUP(M53,Macronutrients,9,FALSE)*Q53+VLOOKUP(M54,Macronutrients,9,FALSE)*Q54+VLOOKUP(M55,Macronutrients,9,FALSE)*Q55+VLOOKUP(M56,Macronutrients,9,FALSE)*Q56+VLOOKUP(M57,Macronutrients,9,FALSE)*Q57+VLOOKUP(M58,Macronutrients,9,FALSE)*Q58+VLOOKUP(M61,Micronutrients,9,FALSE)*Q61+VLOOKUP(M62,Micronutrients,9,FALSE)*Q62+VLOOKUP(M63,Micronutrients,9,FALSE)*Q63+VLOOKUP(M64,Micronutrients,9,FALSE)*Q64</f>
        <v>0</v>
      </c>
      <c r="W59" s="772">
        <f>VLOOKUP(M53,Macronutrients,10,FALSE)*Q53+VLOOKUP(M54,Macronutrients,10,FALSE)*Q54+VLOOKUP(M55,Macronutrients,10,FALSE)*Q55+VLOOKUP(M56,Macronutrients,10,FALSE)*Q56+VLOOKUP(M57,Macronutrients,10,FALSE)*Q57+VLOOKUP(M58,Macronutrients,10,FALSE)*Q58+VLOOKUP(M61,Micronutrients,10,FALSE)*Q61+VLOOKUP(M62,Micronutrients,10,FALSE)*Q62+VLOOKUP(M63,Micronutrients,10,FALSE)*Q63+VLOOKUP(M64,Micronutrients,10,FALSE)*Q64</f>
        <v>0</v>
      </c>
      <c r="X59" s="629"/>
      <c r="Y59" s="627"/>
      <c r="Z59" s="17"/>
      <c r="AA59" s="617"/>
      <c r="AB59" s="616"/>
      <c r="AC59" s="628"/>
      <c r="AD59" s="619"/>
      <c r="AE59" s="47"/>
      <c r="AF59" s="2"/>
      <c r="AG59" s="750">
        <f>VLOOKUP(Y53,Macronutrients,8,FALSE)*AC53+VLOOKUP(Y54,Macronutrients,8,FALSE)*AC54+VLOOKUP(Y55,Macronutrients,8,FALSE)*AC55+VLOOKUP(Y56,Macronutrients,8,FALSE)*AC56+VLOOKUP(Y57,Macronutrients,8,FALSE)*AC57+VLOOKUP(Y58,Macronutrients,8,FALSE)*AC58+VLOOKUP(Y61,Micronutrients,8,FALSE)*AC61+VLOOKUP(Y62,Micronutrients,8,FALSE)*AC62+VLOOKUP(Y63,Micronutrients,8,FALSE)*AC63+VLOOKUP(Y64,Micronutrients,8,FALSE)*AC64</f>
        <v>0</v>
      </c>
      <c r="AH59" s="750">
        <f>VLOOKUP(Y53,Macronutrients,9,FALSE)*AC53+VLOOKUP(Y54,Macronutrients,9,FALSE)*AC54+VLOOKUP(Y55,Macronutrients,9,FALSE)*AC55+VLOOKUP(Y56,Macronutrients,9,FALSE)*AC56+VLOOKUP(Y57,Macronutrients,9,FALSE)*AC57+VLOOKUP(Y58,Macronutrients,9,FALSE)*AC58+VLOOKUP(Y61,Micronutrients,9,FALSE)*AC61+VLOOKUP(Y62,Micronutrients,9,FALSE)*AC62+VLOOKUP(Y63,Micronutrients,9,FALSE)*AC63+VLOOKUP(Y64,Micronutrients,9,FALSE)*AC64</f>
        <v>0</v>
      </c>
      <c r="AI59" s="772">
        <f>VLOOKUP(Y53,Macronutrients,10,FALSE)*AC53+VLOOKUP(Y54,Macronutrients,10,FALSE)*AC54+VLOOKUP(Y55,Macronutrients,10,FALSE)*AC55+VLOOKUP(Y56,Macronutrients,10,FALSE)*AC56+VLOOKUP(Y57,Macronutrients,10,FALSE)*AC57+VLOOKUP(Y58,Macronutrients,10,FALSE)*AC58+VLOOKUP(Y61,Micronutrients,10,FALSE)*AC61+VLOOKUP(Y62,Micronutrients,10,FALSE)*AC62+VLOOKUP(Y63,Micronutrients,10,FALSE)*AC63+VLOOKUP(Y64,Micronutrients,10,FALSE)*AC64</f>
        <v>0</v>
      </c>
    </row>
    <row r="60" spans="1:35" s="60" customFormat="1" ht="15.6">
      <c r="A60" s="115" t="s">
        <v>759</v>
      </c>
      <c r="B60" s="18"/>
      <c r="C60" s="617"/>
      <c r="D60" s="18"/>
      <c r="E60" s="628"/>
      <c r="F60" s="57"/>
      <c r="G60" s="47"/>
      <c r="H60" s="2"/>
      <c r="I60" s="2"/>
      <c r="J60" s="2"/>
      <c r="K60" s="58"/>
      <c r="M60" s="115" t="s">
        <v>759</v>
      </c>
      <c r="N60" s="18"/>
      <c r="O60" s="617"/>
      <c r="P60" s="18"/>
      <c r="Q60" s="628"/>
      <c r="R60" s="57"/>
      <c r="S60" s="47"/>
      <c r="T60" s="2"/>
      <c r="U60" s="2"/>
      <c r="V60" s="2"/>
      <c r="W60" s="58"/>
      <c r="Y60" s="115" t="s">
        <v>759</v>
      </c>
      <c r="Z60" s="18"/>
      <c r="AA60" s="617"/>
      <c r="AB60" s="18"/>
      <c r="AC60" s="628"/>
      <c r="AD60" s="57"/>
      <c r="AE60" s="47"/>
      <c r="AF60" s="2"/>
      <c r="AG60" s="2"/>
      <c r="AH60" s="2"/>
      <c r="AI60" s="58"/>
    </row>
    <row r="61" spans="1:35" s="60" customFormat="1" ht="15.6">
      <c r="A61" s="615" t="s">
        <v>13</v>
      </c>
      <c r="B61" s="616" t="str">
        <f>VLOOKUP(A61,Micronutrients,17,FALSE)</f>
        <v>None</v>
      </c>
      <c r="C61" s="617">
        <f>VLOOKUP(A61,Micronutrients,18,FALSE)</f>
        <v>0</v>
      </c>
      <c r="D61" s="616">
        <f>VLOOKUP(A61,Micronutrients,16,FALSE)</f>
        <v>1</v>
      </c>
      <c r="E61" s="618">
        <v>0</v>
      </c>
      <c r="F61" s="619">
        <f>VLOOKUP(A61,Micronutrients,15,FALSE)</f>
        <v>0</v>
      </c>
      <c r="G61" s="47">
        <f>(E61*VLOOKUP(A61,Micronutrients,14,FALSE)/D61)*C61</f>
        <v>0</v>
      </c>
      <c r="H61" s="2"/>
      <c r="I61" s="642" t="s">
        <v>858</v>
      </c>
      <c r="J61" s="642" t="s">
        <v>859</v>
      </c>
      <c r="K61" s="643" t="s">
        <v>860</v>
      </c>
      <c r="M61" s="615" t="s">
        <v>13</v>
      </c>
      <c r="N61" s="616" t="str">
        <f>VLOOKUP(M61,Micronutrients,17,FALSE)</f>
        <v>None</v>
      </c>
      <c r="O61" s="617">
        <f>VLOOKUP(M61,Micronutrients,18,FALSE)</f>
        <v>0</v>
      </c>
      <c r="P61" s="616">
        <f>VLOOKUP(M61,Micronutrients,16,FALSE)</f>
        <v>1</v>
      </c>
      <c r="Q61" s="618">
        <v>0</v>
      </c>
      <c r="R61" s="619">
        <f>VLOOKUP(M61,Micronutrients,15,FALSE)</f>
        <v>0</v>
      </c>
      <c r="S61" s="47">
        <f>(Q61*VLOOKUP(M61,Micronutrients,14,FALSE)/P61)*O61</f>
        <v>0</v>
      </c>
      <c r="T61" s="2"/>
      <c r="U61" s="642" t="s">
        <v>858</v>
      </c>
      <c r="V61" s="642" t="s">
        <v>859</v>
      </c>
      <c r="W61" s="643" t="s">
        <v>860</v>
      </c>
      <c r="Y61" s="615" t="s">
        <v>13</v>
      </c>
      <c r="Z61" s="616" t="str">
        <f>VLOOKUP(Y61,Micronutrients,17,FALSE)</f>
        <v>None</v>
      </c>
      <c r="AA61" s="617">
        <f>VLOOKUP(Y61,Micronutrients,18,FALSE)</f>
        <v>0</v>
      </c>
      <c r="AB61" s="616">
        <f>VLOOKUP(Y61,Micronutrients,16,FALSE)</f>
        <v>1</v>
      </c>
      <c r="AC61" s="618">
        <v>0</v>
      </c>
      <c r="AD61" s="619">
        <f>VLOOKUP(Y61,Micronutrients,15,FALSE)</f>
        <v>0</v>
      </c>
      <c r="AE61" s="47">
        <f>(AC61*VLOOKUP(Y61,Micronutrients,14,FALSE)/AB61)*AA61</f>
        <v>0</v>
      </c>
      <c r="AF61" s="2"/>
      <c r="AG61" s="642" t="s">
        <v>858</v>
      </c>
      <c r="AH61" s="642" t="s">
        <v>859</v>
      </c>
      <c r="AI61" s="643" t="s">
        <v>860</v>
      </c>
    </row>
    <row r="62" spans="1:35" s="60" customFormat="1" ht="15.6">
      <c r="A62" s="615" t="s">
        <v>13</v>
      </c>
      <c r="B62" s="616" t="str">
        <f>VLOOKUP(A62,Micronutrients,17,FALSE)</f>
        <v>None</v>
      </c>
      <c r="C62" s="617">
        <f>VLOOKUP(A62,Micronutrients,18,FALSE)</f>
        <v>0</v>
      </c>
      <c r="D62" s="616">
        <f>VLOOKUP(A62,Micronutrients,16,FALSE)</f>
        <v>1</v>
      </c>
      <c r="E62" s="618">
        <v>0</v>
      </c>
      <c r="F62" s="619">
        <f>VLOOKUP(A62,Micronutrients,15,FALSE)</f>
        <v>0</v>
      </c>
      <c r="G62" s="47">
        <f>(E62*VLOOKUP(A62,Micronutrients,14,FALSE)/D62)*C62</f>
        <v>0</v>
      </c>
      <c r="H62" s="2"/>
      <c r="I62" s="750">
        <f>VLOOKUP(A53,Macronutrients,11,FALSE)*E53+VLOOKUP(A54,Macronutrients,11,FALSE)*E54+VLOOKUP(A55,Macronutrients,11,FALSE)*E55+VLOOKUP(A56,Macronutrients,11,FALSE)*E56+VLOOKUP(A57,Macronutrients,11,FALSE)*E57+VLOOKUP(A58,Macronutrients,11,FALSE)*E58+VLOOKUP(A61,Micronutrients,11,FALSE)*E61+VLOOKUP(A62,Micronutrients,11,FALSE)*E62+VLOOKUP(A63,Micronutrients,11,FALSE)*E63+VLOOKUP(A64,Micronutrients,11,FALSE)*E64</f>
        <v>0</v>
      </c>
      <c r="J62" s="750">
        <f>VLOOKUP(A53,Macronutrients,12,FALSE)*E53+VLOOKUP(A54,Macronutrients,12,FALSE)*E54+VLOOKUP(A55,Macronutrients,12,FALSE)*E55+VLOOKUP(A56,Macronutrients,12,FALSE)*E56+VLOOKUP(A57,Macronutrients,12,FALSE)*E57+VLOOKUP(A58,Macronutrients,12,FALSE)*E58+VLOOKUP(A61,Micronutrients,12,FALSE)*E61+VLOOKUP(A62,Micronutrients,12,FALSE)*E62+VLOOKUP(A63,Micronutrients,12,FALSE)*E63+VLOOKUP(A64,Micronutrients,12,FALSE)*E64</f>
        <v>0</v>
      </c>
      <c r="K62" s="772">
        <f>VLOOKUP(A53,Macronutrients,13,FALSE)*E53+VLOOKUP(A54,Macronutrients,13,FALSE)*E54+VLOOKUP(A55,Macronutrients,13,FALSE)*E55+VLOOKUP(A56,Macronutrients,13,FALSE)*E56+VLOOKUP(A57,Macronutrients,13,FALSE)*E57+VLOOKUP(A58,Macronutrients,13,FALSE)*E58+VLOOKUP(A61,Micronutrients,13,FALSE)*E61+VLOOKUP(A62,Micronutrients,13,FALSE)*E62+VLOOKUP(A63,Micronutrients,13,FALSE)*E63+VLOOKUP(A64,Micronutrients,13,FALSE)*E64</f>
        <v>0</v>
      </c>
      <c r="M62" s="615" t="s">
        <v>13</v>
      </c>
      <c r="N62" s="616" t="str">
        <f>VLOOKUP(M62,Micronutrients,17,FALSE)</f>
        <v>None</v>
      </c>
      <c r="O62" s="617">
        <f>VLOOKUP(M62,Micronutrients,18,FALSE)</f>
        <v>0</v>
      </c>
      <c r="P62" s="616">
        <f>VLOOKUP(M62,Micronutrients,16,FALSE)</f>
        <v>1</v>
      </c>
      <c r="Q62" s="618">
        <v>0</v>
      </c>
      <c r="R62" s="619">
        <f>VLOOKUP(M62,Micronutrients,15,FALSE)</f>
        <v>0</v>
      </c>
      <c r="S62" s="47">
        <f>(Q62*VLOOKUP(M62,Micronutrients,14,FALSE)/P62)*O62</f>
        <v>0</v>
      </c>
      <c r="T62" s="2"/>
      <c r="U62" s="750">
        <f>VLOOKUP(M53,Macronutrients,11,FALSE)*Q53+VLOOKUP(M54,Macronutrients,11,FALSE)*Q54+VLOOKUP(M55,Macronutrients,11,FALSE)*Q55+VLOOKUP(M56,Macronutrients,11,FALSE)*Q56+VLOOKUP(M57,Macronutrients,11,FALSE)*Q57+VLOOKUP(M58,Macronutrients,11,FALSE)*Q58+VLOOKUP(M61,Micronutrients,11,FALSE)*Q61+VLOOKUP(M62,Micronutrients,11,FALSE)*Q62+VLOOKUP(M63,Micronutrients,11,FALSE)*Q63+VLOOKUP(M64,Micronutrients,11,FALSE)*Q64</f>
        <v>0</v>
      </c>
      <c r="V62" s="750">
        <f>VLOOKUP(M53,Macronutrients,12,FALSE)*Q53+VLOOKUP(M54,Macronutrients,12,FALSE)*Q54+VLOOKUP(M55,Macronutrients,12,FALSE)*Q55+VLOOKUP(M56,Macronutrients,12,FALSE)*Q56+VLOOKUP(M57,Macronutrients,12,FALSE)*Q57+VLOOKUP(M58,Macronutrients,12,FALSE)*Q58+VLOOKUP(M61,Micronutrients,12,FALSE)*Q61+VLOOKUP(M62,Micronutrients,12,FALSE)*Q62+VLOOKUP(M63,Micronutrients,12,FALSE)*Q63+VLOOKUP(M64,Micronutrients,12,FALSE)*Q64</f>
        <v>0</v>
      </c>
      <c r="W62" s="772">
        <f>VLOOKUP(M53,Macronutrients,13,FALSE)*Q53+VLOOKUP(M54,Macronutrients,13,FALSE)*Q54+VLOOKUP(M55,Macronutrients,13,FALSE)*Q55+VLOOKUP(M56,Macronutrients,13,FALSE)*Q56+VLOOKUP(M57,Macronutrients,13,FALSE)*Q57+VLOOKUP(M58,Macronutrients,13,FALSE)*Q58+VLOOKUP(M61,Micronutrients,13,FALSE)*Q61+VLOOKUP(M62,Micronutrients,13,FALSE)*Q62+VLOOKUP(M63,Micronutrients,13,FALSE)*Q63+VLOOKUP(M64,Micronutrients,13,FALSE)*Q64</f>
        <v>0</v>
      </c>
      <c r="Y62" s="615" t="s">
        <v>13</v>
      </c>
      <c r="Z62" s="616" t="str">
        <f>VLOOKUP(Y62,Micronutrients,17,FALSE)</f>
        <v>None</v>
      </c>
      <c r="AA62" s="617">
        <f>VLOOKUP(Y62,Micronutrients,18,FALSE)</f>
        <v>0</v>
      </c>
      <c r="AB62" s="616">
        <f>VLOOKUP(Y62,Micronutrients,16,FALSE)</f>
        <v>1</v>
      </c>
      <c r="AC62" s="618">
        <v>0</v>
      </c>
      <c r="AD62" s="619">
        <f>VLOOKUP(Y62,Micronutrients,15,FALSE)</f>
        <v>0</v>
      </c>
      <c r="AE62" s="47">
        <f>(AC62*VLOOKUP(Y62,Micronutrients,14,FALSE)/AB62)*AA62</f>
        <v>0</v>
      </c>
      <c r="AF62" s="2"/>
      <c r="AG62" s="750">
        <f>VLOOKUP(Y53,Macronutrients,11,FALSE)*AC53+VLOOKUP(Y54,Macronutrients,11,FALSE)*AC54+VLOOKUP(Y55,Macronutrients,11,FALSE)*AC55+VLOOKUP(Y56,Macronutrients,11,FALSE)*AC56+VLOOKUP(Y57,Macronutrients,11,FALSE)*AC57+VLOOKUP(Y58,Macronutrients,11,FALSE)*AC58+VLOOKUP(Y61,Micronutrients,11,FALSE)*AC61+VLOOKUP(Y62,Micronutrients,11,FALSE)*AC62+VLOOKUP(Y63,Micronutrients,11,FALSE)*AC63+VLOOKUP(Y64,Micronutrients,11,FALSE)*AC64</f>
        <v>0</v>
      </c>
      <c r="AH62" s="750">
        <f>VLOOKUP(Y53,Macronutrients,12,FALSE)*AC53+VLOOKUP(Y54,Macronutrients,12,FALSE)*AC54+VLOOKUP(Y55,Macronutrients,12,FALSE)*AC55+VLOOKUP(Y56,Macronutrients,12,FALSE)*AC56+VLOOKUP(Y57,Macronutrients,12,FALSE)*AC57+VLOOKUP(Y58,Macronutrients,12,FALSE)*AC58+VLOOKUP(Y61,Micronutrients,12,FALSE)*AC61+VLOOKUP(Y62,Micronutrients,12,FALSE)*AC62+VLOOKUP(Y63,Micronutrients,12,FALSE)*AC63+VLOOKUP(Y64,Micronutrients,12,FALSE)*AC64</f>
        <v>0</v>
      </c>
      <c r="AI62" s="772">
        <f>VLOOKUP(Y53,Macronutrients,13,FALSE)*AC53+VLOOKUP(Y54,Macronutrients,13,FALSE)*AC54+VLOOKUP(Y55,Macronutrients,13,FALSE)*AC55+VLOOKUP(Y56,Macronutrients,13,FALSE)*AC56+VLOOKUP(Y57,Macronutrients,13,FALSE)*AC57+VLOOKUP(Y58,Macronutrients,13,FALSE)*AC58+VLOOKUP(Y61,Micronutrients,13,FALSE)*AC61+VLOOKUP(Y62,Micronutrients,13,FALSE)*AC62+VLOOKUP(Y63,Micronutrients,13,FALSE)*AC63+VLOOKUP(Y64,Micronutrients,13,FALSE)*AC64</f>
        <v>0</v>
      </c>
    </row>
    <row r="63" spans="1:35" s="60" customFormat="1" ht="15.6">
      <c r="A63" s="615" t="s">
        <v>13</v>
      </c>
      <c r="B63" s="616" t="str">
        <f>VLOOKUP(A63,Micronutrients,17,FALSE)</f>
        <v>None</v>
      </c>
      <c r="C63" s="617">
        <f>VLOOKUP(A63,Micronutrients,18,FALSE)</f>
        <v>0</v>
      </c>
      <c r="D63" s="616">
        <f>VLOOKUP(A63,Micronutrients,16,FALSE)</f>
        <v>1</v>
      </c>
      <c r="E63" s="618">
        <v>0</v>
      </c>
      <c r="F63" s="619">
        <f>VLOOKUP(A63,Micronutrients,15,FALSE)</f>
        <v>0</v>
      </c>
      <c r="G63" s="47">
        <f>(E63*VLOOKUP(A63,Micronutrients,14,FALSE)/D63)*C63</f>
        <v>0</v>
      </c>
      <c r="H63" s="2"/>
      <c r="I63" s="2"/>
      <c r="J63" s="2"/>
      <c r="K63" s="58"/>
      <c r="M63" s="615" t="s">
        <v>13</v>
      </c>
      <c r="N63" s="616" t="str">
        <f>VLOOKUP(M63,Micronutrients,17,FALSE)</f>
        <v>None</v>
      </c>
      <c r="O63" s="617">
        <f>VLOOKUP(M63,Micronutrients,18,FALSE)</f>
        <v>0</v>
      </c>
      <c r="P63" s="616">
        <f>VLOOKUP(M63,Micronutrients,16,FALSE)</f>
        <v>1</v>
      </c>
      <c r="Q63" s="618">
        <v>0</v>
      </c>
      <c r="R63" s="619">
        <f>VLOOKUP(M63,Micronutrients,15,FALSE)</f>
        <v>0</v>
      </c>
      <c r="S63" s="47">
        <f>(Q63*VLOOKUP(M63,Micronutrients,14,FALSE)/P63)*O63</f>
        <v>0</v>
      </c>
      <c r="T63" s="2"/>
      <c r="U63" s="2"/>
      <c r="V63" s="2"/>
      <c r="W63" s="58"/>
      <c r="Y63" s="615" t="s">
        <v>13</v>
      </c>
      <c r="Z63" s="616" t="str">
        <f>VLOOKUP(Y63,Micronutrients,17,FALSE)</f>
        <v>None</v>
      </c>
      <c r="AA63" s="617">
        <f>VLOOKUP(Y63,Micronutrients,18,FALSE)</f>
        <v>0</v>
      </c>
      <c r="AB63" s="616">
        <f>VLOOKUP(Y63,Micronutrients,16,FALSE)</f>
        <v>1</v>
      </c>
      <c r="AC63" s="618">
        <v>0</v>
      </c>
      <c r="AD63" s="619">
        <f>VLOOKUP(Y63,Micronutrients,15,FALSE)</f>
        <v>0</v>
      </c>
      <c r="AE63" s="47">
        <f>(AC63*VLOOKUP(Y63,Micronutrients,14,FALSE)/AB63)*AA63</f>
        <v>0</v>
      </c>
      <c r="AF63" s="2"/>
      <c r="AG63" s="2"/>
      <c r="AH63" s="2"/>
      <c r="AI63" s="58"/>
    </row>
    <row r="64" spans="1:35" s="60" customFormat="1" ht="15.6">
      <c r="A64" s="615" t="s">
        <v>13</v>
      </c>
      <c r="B64" s="616" t="str">
        <f>VLOOKUP(A64,Micronutrients,17,FALSE)</f>
        <v>None</v>
      </c>
      <c r="C64" s="617">
        <f>VLOOKUP(A64,Micronutrients,18,FALSE)</f>
        <v>0</v>
      </c>
      <c r="D64" s="616">
        <f>VLOOKUP(A64,Micronutrients,16,FALSE)</f>
        <v>1</v>
      </c>
      <c r="E64" s="618">
        <v>0</v>
      </c>
      <c r="F64" s="619">
        <f>VLOOKUP(A64,Micronutrients,15,FALSE)</f>
        <v>0</v>
      </c>
      <c r="G64" s="47">
        <f>(E64*VLOOKUP(A64,Micronutrients,14,FALSE)/D64)*C64</f>
        <v>0</v>
      </c>
      <c r="H64" s="2"/>
      <c r="I64" s="2"/>
      <c r="J64" s="2"/>
      <c r="K64" s="58"/>
      <c r="M64" s="615" t="s">
        <v>13</v>
      </c>
      <c r="N64" s="616" t="str">
        <f>VLOOKUP(M64,Micronutrients,17,FALSE)</f>
        <v>None</v>
      </c>
      <c r="O64" s="617">
        <f>VLOOKUP(M64,Micronutrients,18,FALSE)</f>
        <v>0</v>
      </c>
      <c r="P64" s="616">
        <f>VLOOKUP(M64,Micronutrients,16,FALSE)</f>
        <v>1</v>
      </c>
      <c r="Q64" s="618">
        <v>0</v>
      </c>
      <c r="R64" s="619">
        <f>VLOOKUP(M64,Micronutrients,15,FALSE)</f>
        <v>0</v>
      </c>
      <c r="S64" s="47">
        <f>(Q64*VLOOKUP(M64,Micronutrients,14,FALSE)/P64)*O64</f>
        <v>0</v>
      </c>
      <c r="T64" s="2"/>
      <c r="U64" s="2"/>
      <c r="V64" s="2"/>
      <c r="W64" s="58"/>
      <c r="Y64" s="615" t="s">
        <v>13</v>
      </c>
      <c r="Z64" s="616" t="str">
        <f>VLOOKUP(Y64,Micronutrients,17,FALSE)</f>
        <v>None</v>
      </c>
      <c r="AA64" s="617">
        <f>VLOOKUP(Y64,Micronutrients,18,FALSE)</f>
        <v>0</v>
      </c>
      <c r="AB64" s="616">
        <f>VLOOKUP(Y64,Micronutrients,16,FALSE)</f>
        <v>1</v>
      </c>
      <c r="AC64" s="618">
        <v>0</v>
      </c>
      <c r="AD64" s="619">
        <f>VLOOKUP(Y64,Micronutrients,15,FALSE)</f>
        <v>0</v>
      </c>
      <c r="AE64" s="47">
        <f>(AC64*VLOOKUP(Y64,Micronutrients,14,FALSE)/AB64)*AA64</f>
        <v>0</v>
      </c>
      <c r="AF64" s="2"/>
      <c r="AG64" s="2"/>
      <c r="AH64" s="2"/>
      <c r="AI64" s="58"/>
    </row>
    <row r="65" spans="1:35" s="60" customFormat="1" ht="16.2" thickBot="1">
      <c r="A65" s="627"/>
      <c r="B65" s="18"/>
      <c r="C65" s="617"/>
      <c r="D65" s="619"/>
      <c r="E65" s="122"/>
      <c r="F65" s="619"/>
      <c r="G65" s="47"/>
      <c r="H65" s="2"/>
      <c r="I65" s="2"/>
      <c r="J65" s="2"/>
      <c r="K65" s="58"/>
      <c r="M65" s="627"/>
      <c r="N65" s="18"/>
      <c r="O65" s="617"/>
      <c r="P65" s="18"/>
      <c r="Q65" s="628"/>
      <c r="R65" s="57"/>
      <c r="S65" s="47"/>
      <c r="T65" s="2"/>
      <c r="U65" s="2"/>
      <c r="V65" s="2"/>
      <c r="W65" s="58"/>
      <c r="Y65" s="627"/>
      <c r="Z65" s="18"/>
      <c r="AA65" s="617"/>
      <c r="AB65" s="18"/>
      <c r="AC65" s="628"/>
      <c r="AD65" s="57"/>
      <c r="AE65" s="47"/>
      <c r="AF65" s="2"/>
      <c r="AG65" s="2"/>
      <c r="AH65" s="2"/>
      <c r="AI65" s="58"/>
    </row>
    <row r="66" spans="1:35" s="60" customFormat="1" ht="16.2" thickBot="1">
      <c r="A66" s="115" t="s">
        <v>668</v>
      </c>
      <c r="B66" s="774"/>
      <c r="C66" s="775"/>
      <c r="D66" s="116"/>
      <c r="E66" s="777"/>
      <c r="F66" s="116"/>
      <c r="G66" s="116"/>
      <c r="H66" s="2"/>
      <c r="I66" s="984" t="s">
        <v>258</v>
      </c>
      <c r="J66" s="985"/>
      <c r="K66" s="986"/>
      <c r="M66" s="115" t="s">
        <v>668</v>
      </c>
      <c r="N66" s="774"/>
      <c r="O66" s="775"/>
      <c r="P66" s="774"/>
      <c r="Q66" s="776"/>
      <c r="R66" s="116"/>
      <c r="S66" s="116"/>
      <c r="T66" s="2"/>
      <c r="U66" s="984" t="s">
        <v>258</v>
      </c>
      <c r="V66" s="985"/>
      <c r="W66" s="986"/>
      <c r="Y66" s="115" t="s">
        <v>668</v>
      </c>
      <c r="Z66" s="774"/>
      <c r="AA66" s="775"/>
      <c r="AB66" s="774"/>
      <c r="AC66" s="776"/>
      <c r="AD66" s="116"/>
      <c r="AE66" s="116"/>
      <c r="AF66" s="2"/>
      <c r="AG66" s="984" t="s">
        <v>258</v>
      </c>
      <c r="AH66" s="985"/>
      <c r="AI66" s="986"/>
    </row>
    <row r="67" spans="1:35" s="60" customFormat="1" ht="15.6">
      <c r="A67" s="386" t="s">
        <v>13</v>
      </c>
      <c r="B67" s="616" t="str">
        <f>VLOOKUP(A67,NitrogenStabilizers,17,FALSE)</f>
        <v>None</v>
      </c>
      <c r="C67" s="617">
        <f>VLOOKUP(A67,NitrogenStabilizers,18,FALSE)</f>
        <v>0</v>
      </c>
      <c r="D67" s="616">
        <f>VLOOKUP(A67,NitrogenStabilizers,16,FALSE)</f>
        <v>1</v>
      </c>
      <c r="E67" s="618">
        <v>0</v>
      </c>
      <c r="F67" s="619">
        <f>VLOOKUP(A67,NitrogenStabilizers,15,FALSE)</f>
        <v>0</v>
      </c>
      <c r="G67" s="47">
        <f>(E67*VLOOKUP(A67,NitrogenStabilizers,14,FALSE)/D67)*C67</f>
        <v>0</v>
      </c>
      <c r="H67" s="2"/>
      <c r="I67" s="733" t="s">
        <v>108</v>
      </c>
      <c r="J67" s="644" t="s">
        <v>109</v>
      </c>
      <c r="K67" s="645" t="s">
        <v>110</v>
      </c>
      <c r="M67" s="386" t="s">
        <v>13</v>
      </c>
      <c r="N67" s="616" t="str">
        <f>VLOOKUP(M67,NitrogenStabilizers,17,FALSE)</f>
        <v>None</v>
      </c>
      <c r="O67" s="617">
        <f>VLOOKUP(M67,NitrogenStabilizers,18,FALSE)</f>
        <v>0</v>
      </c>
      <c r="P67" s="616">
        <f>VLOOKUP(M67,NitrogenStabilizers,16,FALSE)</f>
        <v>1</v>
      </c>
      <c r="Q67" s="618">
        <v>0</v>
      </c>
      <c r="R67" s="619">
        <f>VLOOKUP(M67,NitrogenStabilizers,15,FALSE)</f>
        <v>0</v>
      </c>
      <c r="S67" s="47">
        <f>(Q67*VLOOKUP(M67,NitrogenStabilizers,14,FALSE)/P67)*O67</f>
        <v>0</v>
      </c>
      <c r="T67" s="2"/>
      <c r="U67" s="733" t="s">
        <v>108</v>
      </c>
      <c r="V67" s="644" t="s">
        <v>109</v>
      </c>
      <c r="W67" s="645" t="s">
        <v>110</v>
      </c>
      <c r="Y67" s="386" t="s">
        <v>13</v>
      </c>
      <c r="Z67" s="616" t="str">
        <f>VLOOKUP(Y67,NitrogenStabilizers,17,FALSE)</f>
        <v>None</v>
      </c>
      <c r="AA67" s="617">
        <f>VLOOKUP(Y67,NitrogenStabilizers,18,FALSE)</f>
        <v>0</v>
      </c>
      <c r="AB67" s="616">
        <f>VLOOKUP(Y67,NitrogenStabilizers,16,FALSE)</f>
        <v>1</v>
      </c>
      <c r="AC67" s="618">
        <v>0</v>
      </c>
      <c r="AD67" s="619">
        <f>VLOOKUP(Y67,NitrogenStabilizers,15,FALSE)</f>
        <v>0</v>
      </c>
      <c r="AE67" s="47">
        <f>(AC67*VLOOKUP(Y67,NitrogenStabilizers,14,FALSE)/AB67)*AA67</f>
        <v>0</v>
      </c>
      <c r="AF67" s="2"/>
      <c r="AG67" s="733" t="s">
        <v>108</v>
      </c>
      <c r="AH67" s="644" t="s">
        <v>109</v>
      </c>
      <c r="AI67" s="645" t="s">
        <v>110</v>
      </c>
    </row>
    <row r="68" spans="1:35" s="60" customFormat="1" ht="15.6">
      <c r="A68" s="386" t="s">
        <v>13</v>
      </c>
      <c r="B68" s="616" t="str">
        <f>VLOOKUP(A68,NitrogenStabilizers,17,FALSE)</f>
        <v>None</v>
      </c>
      <c r="C68" s="617">
        <f>VLOOKUP(A68,NitrogenStabilizers,18,FALSE)</f>
        <v>0</v>
      </c>
      <c r="D68" s="616">
        <f>VLOOKUP(A68,NitrogenStabilizers,16,FALSE)</f>
        <v>1</v>
      </c>
      <c r="E68" s="618">
        <v>0</v>
      </c>
      <c r="F68" s="619">
        <f>VLOOKUP(A68,NitrogenStabilizers,15,FALSE)</f>
        <v>0</v>
      </c>
      <c r="G68" s="47">
        <f>(E68*VLOOKUP(A68,NitrogenStabilizers,14,FALSE)/D68)*C68</f>
        <v>0</v>
      </c>
      <c r="H68" s="2"/>
      <c r="I68" s="734">
        <f>I53+I31</f>
        <v>0</v>
      </c>
      <c r="J68" s="621">
        <f>J53+J31+J6</f>
        <v>0</v>
      </c>
      <c r="K68" s="622">
        <f>K53+K31+K6</f>
        <v>0</v>
      </c>
      <c r="M68" s="386" t="s">
        <v>13</v>
      </c>
      <c r="N68" s="616" t="str">
        <f>VLOOKUP(M68,NitrogenStabilizers,17,FALSE)</f>
        <v>None</v>
      </c>
      <c r="O68" s="617">
        <f>VLOOKUP(M68,NitrogenStabilizers,18,FALSE)</f>
        <v>0</v>
      </c>
      <c r="P68" s="616">
        <f>VLOOKUP(M68,NitrogenStabilizers,16,FALSE)</f>
        <v>1</v>
      </c>
      <c r="Q68" s="618">
        <v>0</v>
      </c>
      <c r="R68" s="619">
        <f>VLOOKUP(M68,NitrogenStabilizers,15,FALSE)</f>
        <v>0</v>
      </c>
      <c r="S68" s="47">
        <f>(Q68*VLOOKUP(M68,NitrogenStabilizers,14,FALSE)/P68)*O68</f>
        <v>0</v>
      </c>
      <c r="T68" s="2"/>
      <c r="U68" s="734">
        <f>U53+U31</f>
        <v>0</v>
      </c>
      <c r="V68" s="621">
        <f>V53+V31+V6</f>
        <v>0</v>
      </c>
      <c r="W68" s="622">
        <f>W53+W31+W6</f>
        <v>0</v>
      </c>
      <c r="Y68" s="386" t="s">
        <v>13</v>
      </c>
      <c r="Z68" s="616" t="str">
        <f>VLOOKUP(Y68,NitrogenStabilizers,17,FALSE)</f>
        <v>None</v>
      </c>
      <c r="AA68" s="617">
        <f>VLOOKUP(Y68,NitrogenStabilizers,18,FALSE)</f>
        <v>0</v>
      </c>
      <c r="AB68" s="616">
        <f>VLOOKUP(Y68,NitrogenStabilizers,16,FALSE)</f>
        <v>1</v>
      </c>
      <c r="AC68" s="618">
        <v>0</v>
      </c>
      <c r="AD68" s="619">
        <f>VLOOKUP(Y68,NitrogenStabilizers,15,FALSE)</f>
        <v>0</v>
      </c>
      <c r="AE68" s="47">
        <f>(AC68*VLOOKUP(Y68,NitrogenStabilizers,14,FALSE)/AB68)*AA68</f>
        <v>0</v>
      </c>
      <c r="AF68" s="2"/>
      <c r="AG68" s="734">
        <f>AG53+AG31</f>
        <v>0</v>
      </c>
      <c r="AH68" s="621">
        <f>AH53+AH31+AH6</f>
        <v>0</v>
      </c>
      <c r="AI68" s="622">
        <f>AI53+AI31+AI6</f>
        <v>0</v>
      </c>
    </row>
    <row r="69" spans="1:35" s="60" customFormat="1" ht="16.2" thickBot="1">
      <c r="A69" s="631" t="s">
        <v>145</v>
      </c>
      <c r="B69" s="632"/>
      <c r="C69" s="632"/>
      <c r="D69" s="632"/>
      <c r="E69" s="633"/>
      <c r="F69" s="632"/>
      <c r="G69" s="634">
        <f>SUM(G53:G68)</f>
        <v>0</v>
      </c>
      <c r="H69" s="2"/>
      <c r="I69" s="735" t="s">
        <v>111</v>
      </c>
      <c r="J69" s="642" t="s">
        <v>112</v>
      </c>
      <c r="K69" s="643" t="s">
        <v>113</v>
      </c>
      <c r="M69" s="631" t="s">
        <v>145</v>
      </c>
      <c r="N69" s="632"/>
      <c r="O69" s="632"/>
      <c r="P69" s="632"/>
      <c r="Q69" s="633"/>
      <c r="R69" s="632"/>
      <c r="S69" s="634">
        <f>SUM(S53:S68)</f>
        <v>0</v>
      </c>
      <c r="T69" s="2"/>
      <c r="U69" s="735" t="s">
        <v>111</v>
      </c>
      <c r="V69" s="642" t="s">
        <v>112</v>
      </c>
      <c r="W69" s="643" t="s">
        <v>113</v>
      </c>
      <c r="Y69" s="631" t="s">
        <v>144</v>
      </c>
      <c r="Z69" s="632"/>
      <c r="AA69" s="632"/>
      <c r="AB69" s="632"/>
      <c r="AC69" s="633"/>
      <c r="AD69" s="632"/>
      <c r="AE69" s="634">
        <f>SUM(AE53:AE68)</f>
        <v>0</v>
      </c>
      <c r="AF69" s="2"/>
      <c r="AG69" s="735" t="s">
        <v>111</v>
      </c>
      <c r="AH69" s="642" t="s">
        <v>112</v>
      </c>
      <c r="AI69" s="643" t="s">
        <v>113</v>
      </c>
    </row>
    <row r="70" spans="1:35" s="60" customFormat="1" ht="16.2" thickTop="1">
      <c r="A70" s="575"/>
      <c r="B70" s="132"/>
      <c r="C70" s="132"/>
      <c r="D70" s="132"/>
      <c r="E70" s="132"/>
      <c r="F70" s="132"/>
      <c r="G70" s="130"/>
      <c r="H70" s="2"/>
      <c r="I70" s="734">
        <f>I56+I34+I9</f>
        <v>0</v>
      </c>
      <c r="J70" s="621">
        <f>J56+J34+J9</f>
        <v>0</v>
      </c>
      <c r="K70" s="622">
        <f>K56+K34+K9</f>
        <v>0</v>
      </c>
      <c r="M70" s="575"/>
      <c r="N70" s="132"/>
      <c r="O70" s="132"/>
      <c r="P70" s="132"/>
      <c r="Q70" s="132"/>
      <c r="R70" s="132"/>
      <c r="S70" s="130"/>
      <c r="T70" s="2"/>
      <c r="U70" s="734">
        <f>U56+U34+U9</f>
        <v>0</v>
      </c>
      <c r="V70" s="621">
        <f>V56+V34+V9</f>
        <v>0</v>
      </c>
      <c r="W70" s="622">
        <f>W56+W34+W9</f>
        <v>0</v>
      </c>
      <c r="Y70" s="575"/>
      <c r="Z70" s="132"/>
      <c r="AA70" s="132"/>
      <c r="AB70" s="132"/>
      <c r="AC70" s="132"/>
      <c r="AD70" s="132"/>
      <c r="AE70" s="130"/>
      <c r="AF70" s="2"/>
      <c r="AG70" s="734">
        <f>AG56+AG34+AG9</f>
        <v>0</v>
      </c>
      <c r="AH70" s="621">
        <f>AH56+AH34+AH9</f>
        <v>0</v>
      </c>
      <c r="AI70" s="622">
        <f>AI56+AI34+AI9</f>
        <v>0</v>
      </c>
    </row>
    <row r="71" spans="1:35" s="60" customFormat="1" ht="15.6">
      <c r="A71" s="21"/>
      <c r="B71" s="2"/>
      <c r="C71" s="2"/>
      <c r="D71" s="2"/>
      <c r="E71" s="2"/>
      <c r="F71" s="2"/>
      <c r="G71" s="2"/>
      <c r="H71" s="2"/>
      <c r="I71" s="735" t="s">
        <v>114</v>
      </c>
      <c r="J71" s="642" t="s">
        <v>115</v>
      </c>
      <c r="K71" s="643" t="s">
        <v>116</v>
      </c>
      <c r="M71" s="21"/>
      <c r="N71" s="2"/>
      <c r="O71" s="2"/>
      <c r="P71" s="2"/>
      <c r="Q71" s="2"/>
      <c r="R71" s="2"/>
      <c r="S71" s="2"/>
      <c r="T71" s="2"/>
      <c r="U71" s="735" t="s">
        <v>114</v>
      </c>
      <c r="V71" s="642" t="s">
        <v>115</v>
      </c>
      <c r="W71" s="643" t="s">
        <v>116</v>
      </c>
      <c r="Y71" s="21"/>
      <c r="Z71" s="2"/>
      <c r="AA71" s="2"/>
      <c r="AB71" s="2"/>
      <c r="AC71" s="2"/>
      <c r="AD71" s="2"/>
      <c r="AE71" s="2"/>
      <c r="AF71" s="2"/>
      <c r="AG71" s="735" t="s">
        <v>114</v>
      </c>
      <c r="AH71" s="642" t="s">
        <v>115</v>
      </c>
      <c r="AI71" s="643" t="s">
        <v>116</v>
      </c>
    </row>
    <row r="72" spans="1:35" s="60" customFormat="1" ht="16.2" thickBot="1">
      <c r="A72" s="640" t="s">
        <v>142</v>
      </c>
      <c r="B72" s="632"/>
      <c r="C72" s="632"/>
      <c r="D72" s="632"/>
      <c r="E72" s="632"/>
      <c r="F72" s="632"/>
      <c r="G72" s="634">
        <f>G69+G47+G25</f>
        <v>0</v>
      </c>
      <c r="H72" s="2"/>
      <c r="I72" s="736">
        <f>I59+I37+I12</f>
        <v>0</v>
      </c>
      <c r="J72" s="737">
        <f>J59+J37+J12</f>
        <v>0</v>
      </c>
      <c r="K72" s="738">
        <f>K59+K37+K12</f>
        <v>0</v>
      </c>
      <c r="M72" s="640" t="s">
        <v>142</v>
      </c>
      <c r="N72" s="632"/>
      <c r="O72" s="632"/>
      <c r="P72" s="632"/>
      <c r="Q72" s="632"/>
      <c r="R72" s="632"/>
      <c r="S72" s="634">
        <f>S69+S47+S25</f>
        <v>0</v>
      </c>
      <c r="T72" s="2"/>
      <c r="U72" s="736">
        <f>U59+U37+U12</f>
        <v>0</v>
      </c>
      <c r="V72" s="737">
        <f>V59+V37+V12</f>
        <v>0</v>
      </c>
      <c r="W72" s="738">
        <f>W59+W37+W12</f>
        <v>0</v>
      </c>
      <c r="X72" s="626"/>
      <c r="Y72" s="640" t="s">
        <v>142</v>
      </c>
      <c r="Z72" s="632"/>
      <c r="AA72" s="632"/>
      <c r="AB72" s="632"/>
      <c r="AC72" s="632"/>
      <c r="AD72" s="632"/>
      <c r="AE72" s="634">
        <f>AE69+AE47+AE25</f>
        <v>0</v>
      </c>
      <c r="AF72" s="2"/>
      <c r="AG72" s="736">
        <f>AG59+AG37+AG12</f>
        <v>0</v>
      </c>
      <c r="AH72" s="737">
        <f>AH59+AH37+AH12</f>
        <v>0</v>
      </c>
      <c r="AI72" s="738">
        <f>AI59+AI37+AI12</f>
        <v>0</v>
      </c>
    </row>
    <row r="73" spans="1:35" s="60" customFormat="1" ht="16.2" thickTop="1">
      <c r="A73" s="101"/>
      <c r="B73" s="132"/>
      <c r="C73" s="132"/>
      <c r="D73" s="132"/>
      <c r="E73" s="132"/>
      <c r="F73" s="132"/>
      <c r="G73" s="130"/>
      <c r="H73" s="2"/>
      <c r="I73" s="735" t="s">
        <v>858</v>
      </c>
      <c r="J73" s="642" t="s">
        <v>859</v>
      </c>
      <c r="K73" s="643" t="s">
        <v>860</v>
      </c>
      <c r="M73" s="101"/>
      <c r="N73" s="132"/>
      <c r="O73" s="132"/>
      <c r="P73" s="132"/>
      <c r="Q73" s="132"/>
      <c r="R73" s="132"/>
      <c r="S73" s="130"/>
      <c r="T73" s="2"/>
      <c r="U73" s="735" t="s">
        <v>858</v>
      </c>
      <c r="V73" s="642" t="s">
        <v>859</v>
      </c>
      <c r="W73" s="643" t="s">
        <v>860</v>
      </c>
      <c r="X73" s="626"/>
      <c r="Y73" s="101"/>
      <c r="Z73" s="132"/>
      <c r="AA73" s="132"/>
      <c r="AB73" s="132"/>
      <c r="AC73" s="132"/>
      <c r="AD73" s="132"/>
      <c r="AE73" s="130"/>
      <c r="AF73" s="2"/>
      <c r="AG73" s="735" t="s">
        <v>858</v>
      </c>
      <c r="AH73" s="642" t="s">
        <v>859</v>
      </c>
      <c r="AI73" s="643" t="s">
        <v>860</v>
      </c>
    </row>
    <row r="74" spans="1:35" s="60" customFormat="1" ht="16.2" thickBot="1">
      <c r="A74" s="101"/>
      <c r="B74" s="132"/>
      <c r="C74" s="132"/>
      <c r="D74" s="132"/>
      <c r="E74" s="132"/>
      <c r="F74" s="132"/>
      <c r="G74" s="130"/>
      <c r="H74" s="2"/>
      <c r="I74" s="736">
        <f>I62+I40+I15</f>
        <v>0</v>
      </c>
      <c r="J74" s="736">
        <f t="shared" ref="J74:K74" si="45">J62+J40+J15</f>
        <v>0</v>
      </c>
      <c r="K74" s="755">
        <f t="shared" si="45"/>
        <v>0</v>
      </c>
      <c r="M74" s="101"/>
      <c r="N74" s="132"/>
      <c r="O74" s="132"/>
      <c r="P74" s="132"/>
      <c r="Q74" s="132"/>
      <c r="R74" s="132"/>
      <c r="S74" s="130"/>
      <c r="T74" s="2"/>
      <c r="U74" s="736">
        <f>U62+U40+U15</f>
        <v>0</v>
      </c>
      <c r="V74" s="736">
        <f t="shared" ref="V74:W74" si="46">V62+V40+V15</f>
        <v>0</v>
      </c>
      <c r="W74" s="755">
        <f t="shared" si="46"/>
        <v>0</v>
      </c>
      <c r="X74" s="626"/>
      <c r="Y74" s="101"/>
      <c r="Z74" s="132"/>
      <c r="AA74" s="132"/>
      <c r="AB74" s="132"/>
      <c r="AC74" s="132"/>
      <c r="AD74" s="132"/>
      <c r="AE74" s="130"/>
      <c r="AF74" s="2"/>
      <c r="AG74" s="736">
        <f>AG62+AG40+AG15</f>
        <v>0</v>
      </c>
      <c r="AH74" s="736">
        <f t="shared" ref="AH74:AI74" si="47">AH62+AH40+AH15</f>
        <v>0</v>
      </c>
      <c r="AI74" s="755">
        <f t="shared" si="47"/>
        <v>0</v>
      </c>
    </row>
    <row r="75" spans="1:35" s="60" customFormat="1" ht="15.6">
      <c r="A75" s="101"/>
      <c r="B75" s="132"/>
      <c r="C75" s="132"/>
      <c r="D75" s="132"/>
      <c r="E75" s="132"/>
      <c r="F75" s="132"/>
      <c r="G75" s="130"/>
      <c r="H75" s="2"/>
      <c r="I75" s="2"/>
      <c r="J75" s="2"/>
      <c r="K75" s="58"/>
      <c r="M75" s="101"/>
      <c r="N75" s="132"/>
      <c r="O75" s="132"/>
      <c r="P75" s="132"/>
      <c r="Q75" s="132"/>
      <c r="R75" s="132"/>
      <c r="S75" s="130"/>
      <c r="T75" s="2"/>
      <c r="U75" s="2"/>
      <c r="V75" s="2"/>
      <c r="W75" s="58"/>
      <c r="X75" s="217"/>
      <c r="Y75" s="101"/>
      <c r="Z75" s="132"/>
      <c r="AA75" s="132"/>
      <c r="AB75" s="132"/>
      <c r="AC75" s="132"/>
      <c r="AD75" s="132"/>
      <c r="AE75" s="130"/>
      <c r="AF75" s="2"/>
      <c r="AG75" s="2"/>
      <c r="AH75" s="2"/>
      <c r="AI75" s="58"/>
    </row>
    <row r="76" spans="1:35" s="60" customFormat="1" ht="16.2" thickBot="1">
      <c r="A76" s="101"/>
      <c r="B76" s="132"/>
      <c r="C76" s="132"/>
      <c r="D76" s="132"/>
      <c r="H76" s="2"/>
      <c r="K76" s="58"/>
      <c r="M76" s="101"/>
      <c r="N76" s="132"/>
      <c r="O76" s="132"/>
      <c r="P76" s="132"/>
      <c r="T76" s="2"/>
      <c r="W76" s="58"/>
      <c r="X76" s="626"/>
      <c r="Y76" s="101"/>
      <c r="Z76" s="132"/>
      <c r="AA76" s="132"/>
      <c r="AB76" s="132"/>
      <c r="AF76" s="2"/>
      <c r="AI76" s="58"/>
    </row>
    <row r="77" spans="1:35" s="60" customFormat="1" ht="15.6">
      <c r="A77" s="101"/>
      <c r="B77" s="132"/>
      <c r="C77" s="132"/>
      <c r="D77" s="132"/>
      <c r="E77" s="993" t="s">
        <v>645</v>
      </c>
      <c r="F77" s="994"/>
      <c r="G77" s="995"/>
      <c r="H77" s="2"/>
      <c r="I77" s="993" t="s">
        <v>645</v>
      </c>
      <c r="J77" s="994"/>
      <c r="K77" s="995"/>
      <c r="M77" s="101"/>
      <c r="N77" s="132"/>
      <c r="O77" s="132"/>
      <c r="P77" s="132"/>
      <c r="Q77" s="993" t="s">
        <v>645</v>
      </c>
      <c r="R77" s="994"/>
      <c r="S77" s="995"/>
      <c r="T77" s="2"/>
      <c r="U77" s="993" t="s">
        <v>645</v>
      </c>
      <c r="V77" s="994"/>
      <c r="W77" s="995"/>
      <c r="X77" s="623"/>
      <c r="Y77" s="101"/>
      <c r="Z77" s="132"/>
      <c r="AA77" s="132"/>
      <c r="AB77" s="132"/>
      <c r="AC77" s="993" t="s">
        <v>645</v>
      </c>
      <c r="AD77" s="994"/>
      <c r="AE77" s="995"/>
      <c r="AF77" s="2"/>
      <c r="AG77" s="993" t="s">
        <v>645</v>
      </c>
      <c r="AH77" s="994"/>
      <c r="AI77" s="995"/>
    </row>
    <row r="78" spans="1:35" s="60" customFormat="1" ht="15.6">
      <c r="A78" s="101"/>
      <c r="B78" s="132"/>
      <c r="C78" s="132"/>
      <c r="D78" s="132"/>
      <c r="E78" s="739" t="s">
        <v>848</v>
      </c>
      <c r="F78" s="979" t="s">
        <v>769</v>
      </c>
      <c r="G78" s="980"/>
      <c r="H78" s="2"/>
      <c r="I78" s="739" t="s">
        <v>848</v>
      </c>
      <c r="J78" s="979" t="s">
        <v>765</v>
      </c>
      <c r="K78" s="980"/>
      <c r="M78" s="101"/>
      <c r="N78" s="132"/>
      <c r="O78" s="132"/>
      <c r="P78" s="132"/>
      <c r="Q78" s="739" t="s">
        <v>848</v>
      </c>
      <c r="R78" s="979" t="s">
        <v>769</v>
      </c>
      <c r="S78" s="980"/>
      <c r="U78" s="739" t="s">
        <v>848</v>
      </c>
      <c r="V78" s="979" t="s">
        <v>765</v>
      </c>
      <c r="W78" s="980"/>
      <c r="X78" s="217"/>
      <c r="Y78" s="101"/>
      <c r="Z78" s="132"/>
      <c r="AA78" s="132"/>
      <c r="AB78" s="132"/>
      <c r="AC78" s="739" t="s">
        <v>848</v>
      </c>
      <c r="AD78" s="979" t="s">
        <v>769</v>
      </c>
      <c r="AE78" s="980"/>
      <c r="AG78" s="739" t="s">
        <v>848</v>
      </c>
      <c r="AH78" s="979" t="s">
        <v>765</v>
      </c>
      <c r="AI78" s="980"/>
    </row>
    <row r="79" spans="1:35" s="60" customFormat="1" ht="15.6">
      <c r="A79" s="101"/>
      <c r="B79" s="132"/>
      <c r="C79" s="132"/>
      <c r="D79" s="132"/>
      <c r="E79" s="733" t="s">
        <v>108</v>
      </c>
      <c r="F79" s="644" t="s">
        <v>109</v>
      </c>
      <c r="G79" s="645" t="s">
        <v>110</v>
      </c>
      <c r="H79" s="2"/>
      <c r="I79" s="733" t="s">
        <v>108</v>
      </c>
      <c r="J79" s="644" t="s">
        <v>109</v>
      </c>
      <c r="K79" s="645" t="s">
        <v>110</v>
      </c>
      <c r="M79" s="101"/>
      <c r="N79" s="132"/>
      <c r="O79" s="132"/>
      <c r="P79" s="132"/>
      <c r="Q79" s="733" t="s">
        <v>108</v>
      </c>
      <c r="R79" s="644" t="s">
        <v>109</v>
      </c>
      <c r="S79" s="645" t="s">
        <v>110</v>
      </c>
      <c r="T79" s="2"/>
      <c r="U79" s="733" t="s">
        <v>108</v>
      </c>
      <c r="V79" s="644" t="s">
        <v>109</v>
      </c>
      <c r="W79" s="645" t="s">
        <v>110</v>
      </c>
      <c r="X79" s="626"/>
      <c r="Y79" s="101"/>
      <c r="Z79" s="132"/>
      <c r="AA79" s="132"/>
      <c r="AB79" s="132"/>
      <c r="AC79" s="733" t="s">
        <v>108</v>
      </c>
      <c r="AD79" s="644" t="s">
        <v>109</v>
      </c>
      <c r="AE79" s="645" t="s">
        <v>110</v>
      </c>
      <c r="AF79" s="2"/>
      <c r="AG79" s="733" t="s">
        <v>108</v>
      </c>
      <c r="AH79" s="644" t="s">
        <v>109</v>
      </c>
      <c r="AI79" s="645" t="s">
        <v>110</v>
      </c>
    </row>
    <row r="80" spans="1:35" s="60" customFormat="1" ht="15.6">
      <c r="A80" s="101"/>
      <c r="B80" s="132"/>
      <c r="C80" s="132"/>
      <c r="D80" s="132"/>
      <c r="E80" s="740">
        <f>'Nutrient Management'!B57</f>
        <v>0</v>
      </c>
      <c r="F80" s="740">
        <f>'Nutrient Management'!C57</f>
        <v>0</v>
      </c>
      <c r="G80" s="741">
        <f>'Nutrient Management'!D57</f>
        <v>0</v>
      </c>
      <c r="H80" s="2"/>
      <c r="I80" s="740">
        <f>'Nutrient Management'!B69</f>
        <v>0</v>
      </c>
      <c r="J80" s="740">
        <f>'Nutrient Management'!C69</f>
        <v>0</v>
      </c>
      <c r="K80" s="741">
        <f>'Nutrient Management'!D69</f>
        <v>0</v>
      </c>
      <c r="M80" s="101"/>
      <c r="N80" s="132"/>
      <c r="O80" s="132"/>
      <c r="P80" s="132"/>
      <c r="Q80" s="740">
        <f>'Nutrient Management'!F57</f>
        <v>0</v>
      </c>
      <c r="R80" s="740">
        <f>'Nutrient Management'!G57</f>
        <v>0</v>
      </c>
      <c r="S80" s="741">
        <f>'Nutrient Management'!H57</f>
        <v>0</v>
      </c>
      <c r="T80" s="2"/>
      <c r="U80" s="740">
        <f>'Nutrient Management'!F69</f>
        <v>0</v>
      </c>
      <c r="V80" s="740">
        <f>'Nutrient Management'!G69</f>
        <v>0</v>
      </c>
      <c r="W80" s="741">
        <f>'Nutrient Management'!H69</f>
        <v>0</v>
      </c>
      <c r="X80" s="623"/>
      <c r="Y80" s="101"/>
      <c r="Z80" s="132"/>
      <c r="AA80" s="132"/>
      <c r="AB80" s="132"/>
      <c r="AC80" s="740">
        <f>'Nutrient Management'!J57</f>
        <v>0</v>
      </c>
      <c r="AD80" s="740">
        <f>'Nutrient Management'!K57</f>
        <v>0</v>
      </c>
      <c r="AE80" s="741">
        <f>'Nutrient Management'!L57</f>
        <v>0</v>
      </c>
      <c r="AF80" s="2"/>
      <c r="AG80" s="740">
        <f>'Nutrient Management'!J69</f>
        <v>0</v>
      </c>
      <c r="AH80" s="740">
        <f>'Nutrient Management'!K69</f>
        <v>0</v>
      </c>
      <c r="AI80" s="741">
        <f>'Nutrient Management'!L69</f>
        <v>0</v>
      </c>
    </row>
    <row r="81" spans="1:35" s="60" customFormat="1" ht="15.6">
      <c r="A81" s="101"/>
      <c r="B81" s="132"/>
      <c r="C81" s="132"/>
      <c r="D81" s="132"/>
      <c r="E81" s="735" t="s">
        <v>111</v>
      </c>
      <c r="F81" s="642" t="s">
        <v>112</v>
      </c>
      <c r="G81" s="643" t="s">
        <v>113</v>
      </c>
      <c r="H81" s="2"/>
      <c r="I81" s="735" t="s">
        <v>111</v>
      </c>
      <c r="J81" s="642" t="s">
        <v>112</v>
      </c>
      <c r="K81" s="643" t="s">
        <v>113</v>
      </c>
      <c r="M81" s="101"/>
      <c r="N81" s="132"/>
      <c r="O81" s="132"/>
      <c r="P81" s="132"/>
      <c r="Q81" s="735" t="s">
        <v>111</v>
      </c>
      <c r="R81" s="642" t="s">
        <v>112</v>
      </c>
      <c r="S81" s="643" t="s">
        <v>113</v>
      </c>
      <c r="T81" s="2"/>
      <c r="U81" s="735" t="s">
        <v>111</v>
      </c>
      <c r="V81" s="642" t="s">
        <v>112</v>
      </c>
      <c r="W81" s="643" t="s">
        <v>113</v>
      </c>
      <c r="X81" s="217"/>
      <c r="Y81" s="101"/>
      <c r="Z81" s="132"/>
      <c r="AA81" s="132"/>
      <c r="AB81" s="132"/>
      <c r="AC81" s="735" t="s">
        <v>111</v>
      </c>
      <c r="AD81" s="642" t="s">
        <v>112</v>
      </c>
      <c r="AE81" s="643" t="s">
        <v>113</v>
      </c>
      <c r="AF81" s="2"/>
      <c r="AG81" s="735" t="s">
        <v>111</v>
      </c>
      <c r="AH81" s="642" t="s">
        <v>112</v>
      </c>
      <c r="AI81" s="643" t="s">
        <v>113</v>
      </c>
    </row>
    <row r="82" spans="1:35" s="60" customFormat="1" ht="15.6">
      <c r="A82" s="101"/>
      <c r="B82" s="132"/>
      <c r="C82" s="132"/>
      <c r="D82" s="132"/>
      <c r="E82" s="740">
        <f>'Nutrient Management'!B59</f>
        <v>0</v>
      </c>
      <c r="F82" s="740">
        <f>'Nutrient Management'!C59</f>
        <v>0</v>
      </c>
      <c r="G82" s="741">
        <f>'Nutrient Management'!D59</f>
        <v>0</v>
      </c>
      <c r="H82" s="2"/>
      <c r="I82" s="740">
        <f>'Nutrient Management'!B72</f>
        <v>0</v>
      </c>
      <c r="J82" s="740">
        <f>'Nutrient Management'!C72</f>
        <v>0</v>
      </c>
      <c r="K82" s="741">
        <f>'Nutrient Management'!D72</f>
        <v>0</v>
      </c>
      <c r="M82" s="101"/>
      <c r="N82" s="132"/>
      <c r="O82" s="132"/>
      <c r="P82" s="132"/>
      <c r="Q82" s="740">
        <f>'Nutrient Management'!F59</f>
        <v>0</v>
      </c>
      <c r="R82" s="740">
        <f>'Nutrient Management'!G59</f>
        <v>0</v>
      </c>
      <c r="S82" s="741">
        <f>'Nutrient Management'!H59</f>
        <v>0</v>
      </c>
      <c r="T82" s="2"/>
      <c r="U82" s="740">
        <f>'Nutrient Management'!F72</f>
        <v>0</v>
      </c>
      <c r="V82" s="740">
        <f>'Nutrient Management'!G72</f>
        <v>0</v>
      </c>
      <c r="W82" s="741">
        <f>'Nutrient Management'!H72</f>
        <v>0</v>
      </c>
      <c r="X82" s="626"/>
      <c r="Y82" s="101"/>
      <c r="Z82" s="132"/>
      <c r="AA82" s="132"/>
      <c r="AB82" s="132"/>
      <c r="AC82" s="740">
        <f>'Nutrient Management'!J59</f>
        <v>0</v>
      </c>
      <c r="AD82" s="740">
        <f>'Nutrient Management'!K59</f>
        <v>0</v>
      </c>
      <c r="AE82" s="741">
        <f>'Nutrient Management'!L59</f>
        <v>0</v>
      </c>
      <c r="AF82" s="2"/>
      <c r="AG82" s="740">
        <f>'Nutrient Management'!J72</f>
        <v>0</v>
      </c>
      <c r="AH82" s="740">
        <f>'Nutrient Management'!K72</f>
        <v>0</v>
      </c>
      <c r="AI82" s="741">
        <f>'Nutrient Management'!L72</f>
        <v>0</v>
      </c>
    </row>
    <row r="83" spans="1:35" s="60" customFormat="1" ht="15.6">
      <c r="A83" s="101"/>
      <c r="B83" s="132"/>
      <c r="C83" s="132"/>
      <c r="D83" s="132"/>
      <c r="E83" s="735" t="s">
        <v>849</v>
      </c>
      <c r="F83" s="642" t="s">
        <v>115</v>
      </c>
      <c r="G83" s="643" t="s">
        <v>116</v>
      </c>
      <c r="H83" s="2"/>
      <c r="I83" s="735" t="s">
        <v>849</v>
      </c>
      <c r="J83" s="642" t="s">
        <v>115</v>
      </c>
      <c r="K83" s="643" t="s">
        <v>116</v>
      </c>
      <c r="M83" s="101"/>
      <c r="N83" s="132"/>
      <c r="O83" s="132"/>
      <c r="P83" s="132"/>
      <c r="Q83" s="735" t="s">
        <v>849</v>
      </c>
      <c r="R83" s="642" t="s">
        <v>115</v>
      </c>
      <c r="S83" s="643" t="s">
        <v>116</v>
      </c>
      <c r="T83" s="2"/>
      <c r="U83" s="735" t="s">
        <v>849</v>
      </c>
      <c r="V83" s="642" t="s">
        <v>115</v>
      </c>
      <c r="W83" s="643" t="s">
        <v>116</v>
      </c>
      <c r="X83" s="629"/>
      <c r="Y83" s="101"/>
      <c r="Z83" s="132"/>
      <c r="AA83" s="132"/>
      <c r="AB83" s="132"/>
      <c r="AC83" s="735" t="s">
        <v>849</v>
      </c>
      <c r="AD83" s="642" t="s">
        <v>115</v>
      </c>
      <c r="AE83" s="643" t="s">
        <v>116</v>
      </c>
      <c r="AF83" s="2"/>
      <c r="AG83" s="735" t="s">
        <v>849</v>
      </c>
      <c r="AH83" s="642" t="s">
        <v>115</v>
      </c>
      <c r="AI83" s="643" t="s">
        <v>116</v>
      </c>
    </row>
    <row r="84" spans="1:35" s="60" customFormat="1" ht="16.2" thickBot="1">
      <c r="A84" s="21"/>
      <c r="B84" s="2"/>
      <c r="C84" s="2"/>
      <c r="D84" s="2"/>
      <c r="E84" s="742">
        <f>'Nutrient Management'!B62</f>
        <v>0</v>
      </c>
      <c r="F84" s="742">
        <f>'Nutrient Management'!C62</f>
        <v>0</v>
      </c>
      <c r="G84" s="743">
        <f>'Nutrient Management'!D62</f>
        <v>0</v>
      </c>
      <c r="H84" s="21"/>
      <c r="I84" s="760">
        <f>'Nutrient Management'!B74</f>
        <v>0</v>
      </c>
      <c r="J84" s="760">
        <f>'Nutrient Management'!C74</f>
        <v>0</v>
      </c>
      <c r="K84" s="761">
        <f>'Nutrient Management'!D74</f>
        <v>0</v>
      </c>
      <c r="M84" s="21"/>
      <c r="N84" s="2"/>
      <c r="O84" s="2"/>
      <c r="P84" s="58"/>
      <c r="Q84" s="742">
        <f>'Nutrient Management'!F62</f>
        <v>0</v>
      </c>
      <c r="R84" s="742">
        <f>'Nutrient Management'!G62</f>
        <v>0</v>
      </c>
      <c r="S84" s="743">
        <f>'Nutrient Management'!H62</f>
        <v>0</v>
      </c>
      <c r="T84" s="751"/>
      <c r="U84" s="760">
        <f>'Nutrient Management'!F74</f>
        <v>0</v>
      </c>
      <c r="V84" s="760">
        <f>'Nutrient Management'!G74</f>
        <v>0</v>
      </c>
      <c r="W84" s="761">
        <f>'Nutrient Management'!H74</f>
        <v>0</v>
      </c>
      <c r="Y84" s="101"/>
      <c r="Z84" s="2"/>
      <c r="AA84" s="2"/>
      <c r="AB84" s="58"/>
      <c r="AC84" s="742">
        <f>'Nutrient Management'!J62</f>
        <v>0</v>
      </c>
      <c r="AD84" s="742">
        <f>'Nutrient Management'!K62</f>
        <v>0</v>
      </c>
      <c r="AE84" s="743">
        <f>'Nutrient Management'!L62</f>
        <v>0</v>
      </c>
      <c r="AF84" s="751"/>
      <c r="AG84" s="760">
        <f>'Nutrient Management'!J74</f>
        <v>0</v>
      </c>
      <c r="AH84" s="760">
        <f>'Nutrient Management'!K74</f>
        <v>0</v>
      </c>
      <c r="AI84" s="761">
        <f>'Nutrient Management'!L74</f>
        <v>0</v>
      </c>
    </row>
    <row r="85" spans="1:35" ht="15.6">
      <c r="A85" s="778"/>
      <c r="E85" s="735" t="s">
        <v>858</v>
      </c>
      <c r="F85" s="642" t="s">
        <v>859</v>
      </c>
      <c r="G85" s="643" t="s">
        <v>860</v>
      </c>
      <c r="I85" s="735" t="s">
        <v>858</v>
      </c>
      <c r="J85" s="642" t="s">
        <v>859</v>
      </c>
      <c r="K85" s="643" t="s">
        <v>860</v>
      </c>
      <c r="L85" s="60"/>
      <c r="M85" s="21"/>
      <c r="Q85" s="735" t="s">
        <v>858</v>
      </c>
      <c r="R85" s="642" t="s">
        <v>859</v>
      </c>
      <c r="S85" s="643" t="s">
        <v>860</v>
      </c>
      <c r="U85" s="735" t="s">
        <v>858</v>
      </c>
      <c r="V85" s="642" t="s">
        <v>859</v>
      </c>
      <c r="W85" s="643" t="s">
        <v>860</v>
      </c>
      <c r="X85" s="60"/>
      <c r="Y85" s="101"/>
      <c r="AC85" s="735" t="s">
        <v>858</v>
      </c>
      <c r="AD85" s="642" t="s">
        <v>859</v>
      </c>
      <c r="AE85" s="643" t="s">
        <v>860</v>
      </c>
      <c r="AG85" s="735" t="s">
        <v>858</v>
      </c>
      <c r="AH85" s="642" t="s">
        <v>859</v>
      </c>
      <c r="AI85" s="643" t="s">
        <v>860</v>
      </c>
    </row>
    <row r="86" spans="1:35" ht="16.2" thickBot="1">
      <c r="A86" s="779"/>
      <c r="B86" s="752"/>
      <c r="C86" s="752"/>
      <c r="D86" s="752"/>
      <c r="E86" s="742">
        <f>'Nutrient Management'!B64</f>
        <v>0</v>
      </c>
      <c r="F86" s="742">
        <f>'Nutrient Management'!C64</f>
        <v>0</v>
      </c>
      <c r="G86" s="743">
        <f>'Nutrient Management'!D64</f>
        <v>0</v>
      </c>
      <c r="H86" s="754"/>
      <c r="I86" s="760">
        <f>'Nutrient Management'!B76</f>
        <v>0</v>
      </c>
      <c r="J86" s="760">
        <f>'Nutrient Management'!C76</f>
        <v>0</v>
      </c>
      <c r="K86" s="761">
        <f>'Nutrient Management'!D76</f>
        <v>0</v>
      </c>
      <c r="L86" s="60"/>
      <c r="M86" s="33"/>
      <c r="N86" s="752"/>
      <c r="O86" s="752"/>
      <c r="P86" s="752"/>
      <c r="Q86" s="742">
        <f>'Nutrient Management'!F64</f>
        <v>0</v>
      </c>
      <c r="R86" s="742">
        <f>'Nutrient Management'!G64</f>
        <v>0</v>
      </c>
      <c r="S86" s="743">
        <f>'Nutrient Management'!H64</f>
        <v>0</v>
      </c>
      <c r="T86" s="752"/>
      <c r="U86" s="760">
        <f>'Nutrient Management'!F76</f>
        <v>0</v>
      </c>
      <c r="V86" s="760">
        <f>'Nutrient Management'!G76</f>
        <v>0</v>
      </c>
      <c r="W86" s="761">
        <f>'Nutrient Management'!H76</f>
        <v>0</v>
      </c>
      <c r="X86" s="60"/>
      <c r="Y86" s="753"/>
      <c r="Z86" s="752"/>
      <c r="AA86" s="752"/>
      <c r="AB86" s="752"/>
      <c r="AC86" s="742">
        <f>'Nutrient Management'!J64</f>
        <v>0</v>
      </c>
      <c r="AD86" s="742">
        <f>'Nutrient Management'!K64</f>
        <v>0</v>
      </c>
      <c r="AE86" s="743">
        <f>'Nutrient Management'!L64</f>
        <v>0</v>
      </c>
      <c r="AF86" s="752"/>
      <c r="AG86" s="760">
        <f>'Nutrient Management'!J76</f>
        <v>0</v>
      </c>
      <c r="AH86" s="760">
        <f>'Nutrient Management'!K76</f>
        <v>0</v>
      </c>
      <c r="AI86" s="761">
        <f>'Nutrient Management'!L76</f>
        <v>0</v>
      </c>
    </row>
  </sheetData>
  <sheetProtection sheet="1" objects="1" scenarios="1"/>
  <mergeCells count="33">
    <mergeCell ref="X48:X49"/>
    <mergeCell ref="U66:W66"/>
    <mergeCell ref="A3:K3"/>
    <mergeCell ref="AD78:AE78"/>
    <mergeCell ref="AH78:AI78"/>
    <mergeCell ref="J78:K78"/>
    <mergeCell ref="Q77:S77"/>
    <mergeCell ref="U77:W77"/>
    <mergeCell ref="R78:S78"/>
    <mergeCell ref="V78:W78"/>
    <mergeCell ref="AC77:AE77"/>
    <mergeCell ref="AG77:AI77"/>
    <mergeCell ref="L26:L27"/>
    <mergeCell ref="E77:G77"/>
    <mergeCell ref="I77:K77"/>
    <mergeCell ref="X27:X28"/>
    <mergeCell ref="Y1:AI1"/>
    <mergeCell ref="Y3:AI3"/>
    <mergeCell ref="Y28:AI28"/>
    <mergeCell ref="Y50:AI50"/>
    <mergeCell ref="AG66:AI66"/>
    <mergeCell ref="F78:G78"/>
    <mergeCell ref="A50:K50"/>
    <mergeCell ref="I66:K66"/>
    <mergeCell ref="M1:W1"/>
    <mergeCell ref="M3:W3"/>
    <mergeCell ref="M28:W28"/>
    <mergeCell ref="M50:W50"/>
    <mergeCell ref="I17:K23"/>
    <mergeCell ref="U17:W23"/>
    <mergeCell ref="A1:K1"/>
    <mergeCell ref="L48:L49"/>
    <mergeCell ref="A28:K28"/>
  </mergeCells>
  <conditionalFormatting sqref="G5">
    <cfRule type="dataBar" priority="310">
      <dataBar>
        <cfvo type="min"/>
        <cfvo type="max"/>
        <color rgb="FF63C384"/>
      </dataBar>
    </cfRule>
  </conditionalFormatting>
  <conditionalFormatting sqref="G6:G11">
    <cfRule type="dataBar" priority="144">
      <dataBar>
        <cfvo type="min"/>
        <cfvo type="max"/>
        <color rgb="FF63C384"/>
      </dataBar>
    </cfRule>
  </conditionalFormatting>
  <conditionalFormatting sqref="G12:G13">
    <cfRule type="dataBar" priority="332">
      <dataBar>
        <cfvo type="min"/>
        <cfvo type="max"/>
        <color rgb="FF63C384"/>
      </dataBar>
    </cfRule>
  </conditionalFormatting>
  <conditionalFormatting sqref="G14:G19">
    <cfRule type="dataBar" priority="333">
      <dataBar>
        <cfvo type="min"/>
        <cfvo type="max"/>
        <color rgb="FF63C384"/>
      </dataBar>
    </cfRule>
  </conditionalFormatting>
  <conditionalFormatting sqref="G20">
    <cfRule type="dataBar" priority="153">
      <dataBar>
        <cfvo type="min"/>
        <cfvo type="max"/>
        <color rgb="FF63C384"/>
      </dataBar>
    </cfRule>
  </conditionalFormatting>
  <conditionalFormatting sqref="G21">
    <cfRule type="dataBar" priority="335">
      <dataBar>
        <cfvo type="min"/>
        <cfvo type="max"/>
        <color rgb="FF63C384"/>
      </dataBar>
    </cfRule>
  </conditionalFormatting>
  <conditionalFormatting sqref="G23:G24">
    <cfRule type="dataBar" priority="231">
      <dataBar>
        <cfvo type="min"/>
        <cfvo type="max"/>
        <color rgb="FF63C384"/>
      </dataBar>
    </cfRule>
  </conditionalFormatting>
  <conditionalFormatting sqref="G30">
    <cfRule type="dataBar" priority="209">
      <dataBar>
        <cfvo type="min"/>
        <cfvo type="max"/>
        <color rgb="FF63C384"/>
      </dataBar>
    </cfRule>
  </conditionalFormatting>
  <conditionalFormatting sqref="G31:G36">
    <cfRule type="dataBar" priority="47">
      <dataBar>
        <cfvo type="min"/>
        <cfvo type="max"/>
        <color rgb="FF63C384"/>
      </dataBar>
    </cfRule>
  </conditionalFormatting>
  <conditionalFormatting sqref="G37:G38">
    <cfRule type="dataBar" priority="97">
      <dataBar>
        <cfvo type="min"/>
        <cfvo type="max"/>
        <color rgb="FF63C384"/>
      </dataBar>
    </cfRule>
  </conditionalFormatting>
  <conditionalFormatting sqref="G39:G42">
    <cfRule type="dataBar" priority="46">
      <dataBar>
        <cfvo type="min"/>
        <cfvo type="max"/>
        <color rgb="FF63C384"/>
      </dataBar>
    </cfRule>
  </conditionalFormatting>
  <conditionalFormatting sqref="G43">
    <cfRule type="dataBar" priority="296">
      <dataBar>
        <cfvo type="min"/>
        <cfvo type="max"/>
        <color rgb="FF63C384"/>
      </dataBar>
    </cfRule>
  </conditionalFormatting>
  <conditionalFormatting sqref="G45:G46">
    <cfRule type="dataBar" priority="45">
      <dataBar>
        <cfvo type="min"/>
        <cfvo type="max"/>
        <color rgb="FF63C384"/>
      </dataBar>
    </cfRule>
  </conditionalFormatting>
  <conditionalFormatting sqref="G52">
    <cfRule type="dataBar" priority="205">
      <dataBar>
        <cfvo type="min"/>
        <cfvo type="max"/>
        <color rgb="FF63C384"/>
      </dataBar>
    </cfRule>
  </conditionalFormatting>
  <conditionalFormatting sqref="G53:G58">
    <cfRule type="dataBar" priority="13">
      <dataBar>
        <cfvo type="min"/>
        <cfvo type="max"/>
        <color rgb="FF63C384"/>
      </dataBar>
    </cfRule>
  </conditionalFormatting>
  <conditionalFormatting sqref="G59:G60">
    <cfRule type="dataBar" priority="14">
      <dataBar>
        <cfvo type="min"/>
        <cfvo type="max"/>
        <color rgb="FF63C384"/>
      </dataBar>
    </cfRule>
  </conditionalFormatting>
  <conditionalFormatting sqref="G61:G64">
    <cfRule type="dataBar" priority="12">
      <dataBar>
        <cfvo type="min"/>
        <cfvo type="max"/>
        <color rgb="FF63C384"/>
      </dataBar>
    </cfRule>
  </conditionalFormatting>
  <conditionalFormatting sqref="G65">
    <cfRule type="dataBar" priority="15">
      <dataBar>
        <cfvo type="min"/>
        <cfvo type="max"/>
        <color rgb="FF63C384"/>
      </dataBar>
    </cfRule>
  </conditionalFormatting>
  <conditionalFormatting sqref="G67:G68">
    <cfRule type="dataBar" priority="11">
      <dataBar>
        <cfvo type="min"/>
        <cfvo type="max"/>
        <color rgb="FF63C384"/>
      </dataBar>
    </cfRule>
  </conditionalFormatting>
  <conditionalFormatting sqref="S5">
    <cfRule type="dataBar" priority="195">
      <dataBar>
        <cfvo type="min"/>
        <cfvo type="max"/>
        <color rgb="FF63C384"/>
      </dataBar>
    </cfRule>
  </conditionalFormatting>
  <conditionalFormatting sqref="S6:S11">
    <cfRule type="dataBar" priority="32">
      <dataBar>
        <cfvo type="min"/>
        <cfvo type="max"/>
        <color rgb="FF63C384"/>
      </dataBar>
    </cfRule>
  </conditionalFormatting>
  <conditionalFormatting sqref="S12:S13">
    <cfRule type="dataBar" priority="35">
      <dataBar>
        <cfvo type="min"/>
        <cfvo type="max"/>
        <color rgb="FF63C384"/>
      </dataBar>
    </cfRule>
  </conditionalFormatting>
  <conditionalFormatting sqref="S14:S19">
    <cfRule type="dataBar" priority="36">
      <dataBar>
        <cfvo type="min"/>
        <cfvo type="max"/>
        <color rgb="FF63C384"/>
      </dataBar>
    </cfRule>
  </conditionalFormatting>
  <conditionalFormatting sqref="S20">
    <cfRule type="dataBar" priority="33">
      <dataBar>
        <cfvo type="min"/>
        <cfvo type="max"/>
        <color rgb="FF63C384"/>
      </dataBar>
    </cfRule>
  </conditionalFormatting>
  <conditionalFormatting sqref="S21">
    <cfRule type="dataBar" priority="37">
      <dataBar>
        <cfvo type="min"/>
        <cfvo type="max"/>
        <color rgb="FF63C384"/>
      </dataBar>
    </cfRule>
  </conditionalFormatting>
  <conditionalFormatting sqref="S23:S24">
    <cfRule type="dataBar" priority="34">
      <dataBar>
        <cfvo type="min"/>
        <cfvo type="max"/>
        <color rgb="FF63C384"/>
      </dataBar>
    </cfRule>
  </conditionalFormatting>
  <conditionalFormatting sqref="S30">
    <cfRule type="dataBar" priority="190">
      <dataBar>
        <cfvo type="min"/>
        <cfvo type="max"/>
        <color rgb="FF63C384"/>
      </dataBar>
    </cfRule>
  </conditionalFormatting>
  <conditionalFormatting sqref="S31:S36">
    <cfRule type="dataBar" priority="23">
      <dataBar>
        <cfvo type="min"/>
        <cfvo type="max"/>
        <color rgb="FF63C384"/>
      </dataBar>
    </cfRule>
  </conditionalFormatting>
  <conditionalFormatting sqref="S37:S38">
    <cfRule type="dataBar" priority="24">
      <dataBar>
        <cfvo type="min"/>
        <cfvo type="max"/>
        <color rgb="FF63C384"/>
      </dataBar>
    </cfRule>
  </conditionalFormatting>
  <conditionalFormatting sqref="S39:S42">
    <cfRule type="dataBar" priority="22">
      <dataBar>
        <cfvo type="min"/>
        <cfvo type="max"/>
        <color rgb="FF63C384"/>
      </dataBar>
    </cfRule>
  </conditionalFormatting>
  <conditionalFormatting sqref="S43">
    <cfRule type="dataBar" priority="25">
      <dataBar>
        <cfvo type="min"/>
        <cfvo type="max"/>
        <color rgb="FF63C384"/>
      </dataBar>
    </cfRule>
  </conditionalFormatting>
  <conditionalFormatting sqref="S45:S46">
    <cfRule type="dataBar" priority="21">
      <dataBar>
        <cfvo type="min"/>
        <cfvo type="max"/>
        <color rgb="FF63C384"/>
      </dataBar>
    </cfRule>
  </conditionalFormatting>
  <conditionalFormatting sqref="S52">
    <cfRule type="dataBar" priority="189">
      <dataBar>
        <cfvo type="min"/>
        <cfvo type="max"/>
        <color rgb="FF63C384"/>
      </dataBar>
    </cfRule>
  </conditionalFormatting>
  <conditionalFormatting sqref="S53:S58">
    <cfRule type="dataBar" priority="8">
      <dataBar>
        <cfvo type="min"/>
        <cfvo type="max"/>
        <color rgb="FF63C384"/>
      </dataBar>
    </cfRule>
  </conditionalFormatting>
  <conditionalFormatting sqref="S59:S60">
    <cfRule type="dataBar" priority="9">
      <dataBar>
        <cfvo type="min"/>
        <cfvo type="max"/>
        <color rgb="FF63C384"/>
      </dataBar>
    </cfRule>
  </conditionalFormatting>
  <conditionalFormatting sqref="S61:S64">
    <cfRule type="dataBar" priority="7">
      <dataBar>
        <cfvo type="min"/>
        <cfvo type="max"/>
        <color rgb="FF63C384"/>
      </dataBar>
    </cfRule>
  </conditionalFormatting>
  <conditionalFormatting sqref="S65">
    <cfRule type="dataBar" priority="10">
      <dataBar>
        <cfvo type="min"/>
        <cfvo type="max"/>
        <color rgb="FF63C384"/>
      </dataBar>
    </cfRule>
  </conditionalFormatting>
  <conditionalFormatting sqref="S67:S68">
    <cfRule type="dataBar" priority="6">
      <dataBar>
        <cfvo type="min"/>
        <cfvo type="max"/>
        <color rgb="FF63C384"/>
      </dataBar>
    </cfRule>
  </conditionalFormatting>
  <conditionalFormatting sqref="AE5">
    <cfRule type="dataBar" priority="176">
      <dataBar>
        <cfvo type="min"/>
        <cfvo type="max"/>
        <color rgb="FF63C384"/>
      </dataBar>
    </cfRule>
  </conditionalFormatting>
  <conditionalFormatting sqref="AE6:AE11">
    <cfRule type="dataBar" priority="26">
      <dataBar>
        <cfvo type="min"/>
        <cfvo type="max"/>
        <color rgb="FF63C384"/>
      </dataBar>
    </cfRule>
  </conditionalFormatting>
  <conditionalFormatting sqref="AE12:AE13">
    <cfRule type="dataBar" priority="29">
      <dataBar>
        <cfvo type="min"/>
        <cfvo type="max"/>
        <color rgb="FF63C384"/>
      </dataBar>
    </cfRule>
  </conditionalFormatting>
  <conditionalFormatting sqref="AE14:AE19">
    <cfRule type="dataBar" priority="30">
      <dataBar>
        <cfvo type="min"/>
        <cfvo type="max"/>
        <color rgb="FF63C384"/>
      </dataBar>
    </cfRule>
  </conditionalFormatting>
  <conditionalFormatting sqref="AE20">
    <cfRule type="dataBar" priority="27">
      <dataBar>
        <cfvo type="min"/>
        <cfvo type="max"/>
        <color rgb="FF63C384"/>
      </dataBar>
    </cfRule>
  </conditionalFormatting>
  <conditionalFormatting sqref="AE21">
    <cfRule type="dataBar" priority="31">
      <dataBar>
        <cfvo type="min"/>
        <cfvo type="max"/>
        <color rgb="FF63C384"/>
      </dataBar>
    </cfRule>
  </conditionalFormatting>
  <conditionalFormatting sqref="AE23:AE24">
    <cfRule type="dataBar" priority="28">
      <dataBar>
        <cfvo type="min"/>
        <cfvo type="max"/>
        <color rgb="FF63C384"/>
      </dataBar>
    </cfRule>
  </conditionalFormatting>
  <conditionalFormatting sqref="AE30">
    <cfRule type="dataBar" priority="177">
      <dataBar>
        <cfvo type="min"/>
        <cfvo type="max"/>
        <color rgb="FF63C384"/>
      </dataBar>
    </cfRule>
  </conditionalFormatting>
  <conditionalFormatting sqref="AE31:AE36">
    <cfRule type="dataBar" priority="18">
      <dataBar>
        <cfvo type="min"/>
        <cfvo type="max"/>
        <color rgb="FF63C384"/>
      </dataBar>
    </cfRule>
  </conditionalFormatting>
  <conditionalFormatting sqref="AE37:AE38">
    <cfRule type="dataBar" priority="19">
      <dataBar>
        <cfvo type="min"/>
        <cfvo type="max"/>
        <color rgb="FF63C384"/>
      </dataBar>
    </cfRule>
  </conditionalFormatting>
  <conditionalFormatting sqref="AE39:AE42">
    <cfRule type="dataBar" priority="17">
      <dataBar>
        <cfvo type="min"/>
        <cfvo type="max"/>
        <color rgb="FF63C384"/>
      </dataBar>
    </cfRule>
  </conditionalFormatting>
  <conditionalFormatting sqref="AE43">
    <cfRule type="dataBar" priority="20">
      <dataBar>
        <cfvo type="min"/>
        <cfvo type="max"/>
        <color rgb="FF63C384"/>
      </dataBar>
    </cfRule>
  </conditionalFormatting>
  <conditionalFormatting sqref="AE45:AE46">
    <cfRule type="dataBar" priority="16">
      <dataBar>
        <cfvo type="min"/>
        <cfvo type="max"/>
        <color rgb="FF63C384"/>
      </dataBar>
    </cfRule>
  </conditionalFormatting>
  <conditionalFormatting sqref="AE52">
    <cfRule type="dataBar" priority="175">
      <dataBar>
        <cfvo type="min"/>
        <cfvo type="max"/>
        <color rgb="FF63C384"/>
      </dataBar>
    </cfRule>
  </conditionalFormatting>
  <conditionalFormatting sqref="AE53:AE58">
    <cfRule type="dataBar" priority="3">
      <dataBar>
        <cfvo type="min"/>
        <cfvo type="max"/>
        <color rgb="FF63C384"/>
      </dataBar>
    </cfRule>
  </conditionalFormatting>
  <conditionalFormatting sqref="AE59:AE60">
    <cfRule type="dataBar" priority="4">
      <dataBar>
        <cfvo type="min"/>
        <cfvo type="max"/>
        <color rgb="FF63C384"/>
      </dataBar>
    </cfRule>
  </conditionalFormatting>
  <conditionalFormatting sqref="AE61:AE64">
    <cfRule type="dataBar" priority="2">
      <dataBar>
        <cfvo type="min"/>
        <cfvo type="max"/>
        <color rgb="FF63C384"/>
      </dataBar>
    </cfRule>
  </conditionalFormatting>
  <conditionalFormatting sqref="AE65">
    <cfRule type="dataBar" priority="5">
      <dataBar>
        <cfvo type="min"/>
        <cfvo type="max"/>
        <color rgb="FF63C384"/>
      </dataBar>
    </cfRule>
  </conditionalFormatting>
  <conditionalFormatting sqref="AE67:AE68">
    <cfRule type="dataBar" priority="1">
      <dataBar>
        <cfvo type="min"/>
        <cfvo type="max"/>
        <color rgb="FF63C384"/>
      </dataBar>
    </cfRule>
  </conditionalFormatting>
  <dataValidations count="2">
    <dataValidation type="list" allowBlank="1" showInputMessage="1" showErrorMessage="1" sqref="A24 A68 M46 M24 A46 M68" xr:uid="{00000000-0002-0000-0700-000000000000}">
      <formula1>NitrogenStabilizers</formula1>
    </dataValidation>
    <dataValidation type="list" allowBlank="1" showInputMessage="1" showErrorMessage="1" sqref="M40 M62" xr:uid="{00000000-0002-0000-0700-000001000000}">
      <formula1>Micronutrients</formula1>
    </dataValidation>
  </dataValidations>
  <printOptions horizontalCentered="1"/>
  <pageMargins left="0.7" right="0.7" top="0.75" bottom="0.75" header="0.3" footer="0.3"/>
  <pageSetup scale="50" orientation="portrait" r:id="rId1"/>
  <colBreaks count="1" manualBreakCount="1">
    <brk id="35" max="72"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7000000}">
          <x14:formula1>
            <xm:f>'Fertilizer Products &amp; Pricing'!$A$70:$A$78</xm:f>
          </x14:formula1>
          <xm:sqref>A20 Y20 M20</xm:sqref>
        </x14:dataValidation>
        <x14:dataValidation type="list" allowBlank="1" showInputMessage="1" showErrorMessage="1" xr:uid="{00000000-0002-0000-0700-000005000000}">
          <x14:formula1>
            <xm:f>'Fertilizer Products &amp; Pricing'!$A$48:$A$66</xm:f>
          </x14:formula1>
          <xm:sqref>A14:A17 M14:M17 Y39:Y42 Y14:Y17 Y61:Y64 M41:M42 M61 M39 A39:A42 M63:M64 A61:A64</xm:sqref>
        </x14:dataValidation>
        <x14:dataValidation type="list" allowBlank="1" showInputMessage="1" showErrorMessage="1" xr:uid="{00000000-0002-0000-0700-000004000000}">
          <x14:formula1>
            <xm:f>'Fertilizer Products &amp; Pricing'!$A$4:$A$44</xm:f>
          </x14:formula1>
          <xm:sqref>Y31:Y36 Y53:Y58 A53:A58 A31:A36 M53:M58 M31:M36 M6:M11 A6:A11 Y6:Y11</xm:sqref>
        </x14:dataValidation>
        <x14:dataValidation type="list" allowBlank="1" showInputMessage="1" showErrorMessage="1" xr:uid="{00000000-0002-0000-0700-000006000000}">
          <x14:formula1>
            <xm:f>'Fertilizer Products &amp; Pricing'!$A$82:$A$91</xm:f>
          </x14:formula1>
          <xm:sqref>A23 M67 A67 Y67:Y68 Y45:Y46 M23 M45 A45 Y23:Y24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AB44"/>
  <sheetViews>
    <sheetView zoomScale="90" zoomScaleNormal="90" workbookViewId="0">
      <selection activeCell="F8" sqref="F8"/>
    </sheetView>
  </sheetViews>
  <sheetFormatPr defaultColWidth="9.109375" defaultRowHeight="14.4"/>
  <cols>
    <col min="1" max="1" width="9.109375" style="6"/>
    <col min="2" max="2" width="24.88671875" style="6" bestFit="1" customWidth="1"/>
    <col min="3" max="3" width="15.5546875" style="6" bestFit="1" customWidth="1"/>
    <col min="4" max="4" width="9.109375" style="6"/>
    <col min="5" max="6" width="13.6640625" style="6" bestFit="1" customWidth="1"/>
    <col min="7" max="7" width="13.33203125" style="6" bestFit="1" customWidth="1"/>
    <col min="8" max="8" width="12" style="6" bestFit="1" customWidth="1"/>
    <col min="9" max="9" width="22.33203125" style="6" bestFit="1" customWidth="1"/>
    <col min="10" max="10" width="14" style="6" bestFit="1" customWidth="1"/>
    <col min="11" max="11" width="9.109375" style="6"/>
    <col min="12" max="12" width="27.6640625" style="6" customWidth="1"/>
    <col min="13" max="13" width="12" style="10" bestFit="1" customWidth="1"/>
    <col min="14" max="16" width="11.6640625" style="6" customWidth="1"/>
    <col min="17" max="17" width="12.6640625" style="6" bestFit="1" customWidth="1"/>
    <col min="18" max="18" width="14.33203125" style="6" bestFit="1" customWidth="1"/>
    <col min="19" max="19" width="12.33203125" style="6" bestFit="1" customWidth="1"/>
    <col min="20" max="20" width="10.33203125" style="6" bestFit="1" customWidth="1"/>
    <col min="21" max="21" width="14.33203125" style="6" bestFit="1" customWidth="1"/>
    <col min="22" max="22" width="12.33203125" style="6" bestFit="1" customWidth="1"/>
    <col min="23" max="23" width="8.109375" style="6" customWidth="1"/>
    <col min="24" max="24" width="8" style="6" customWidth="1"/>
    <col min="25" max="28" width="8.88671875" style="6" customWidth="1"/>
    <col min="29" max="16384" width="9.109375" style="6"/>
  </cols>
  <sheetData>
    <row r="1" spans="1:23" ht="15" customHeight="1">
      <c r="A1"/>
      <c r="B1" s="996" t="s">
        <v>78</v>
      </c>
      <c r="C1" s="997"/>
      <c r="D1" s="997"/>
      <c r="E1" s="997"/>
      <c r="F1" s="997"/>
      <c r="G1" s="997"/>
      <c r="H1" s="997"/>
      <c r="I1" s="997"/>
      <c r="J1" s="998"/>
      <c r="K1"/>
      <c r="L1"/>
      <c r="M1" s="69"/>
      <c r="N1"/>
      <c r="O1"/>
      <c r="P1"/>
      <c r="Q1"/>
      <c r="R1"/>
      <c r="S1"/>
      <c r="T1"/>
      <c r="U1"/>
      <c r="V1"/>
      <c r="W1"/>
    </row>
    <row r="2" spans="1:23" ht="15" customHeight="1">
      <c r="A2"/>
      <c r="B2" s="999"/>
      <c r="C2" s="1000"/>
      <c r="D2" s="1000"/>
      <c r="E2" s="1000"/>
      <c r="F2" s="1000"/>
      <c r="G2" s="1000"/>
      <c r="H2" s="1000"/>
      <c r="I2" s="1000"/>
      <c r="J2" s="1001"/>
      <c r="K2"/>
      <c r="L2"/>
      <c r="M2" s="69"/>
      <c r="N2"/>
      <c r="O2"/>
      <c r="P2"/>
      <c r="Q2"/>
      <c r="R2"/>
      <c r="S2"/>
      <c r="T2"/>
      <c r="U2"/>
      <c r="V2"/>
      <c r="W2"/>
    </row>
    <row r="3" spans="1:23" ht="16.2" thickBot="1">
      <c r="A3"/>
      <c r="B3" s="514"/>
      <c r="C3" s="114"/>
      <c r="D3" s="114"/>
      <c r="E3" s="114"/>
      <c r="F3" s="114"/>
      <c r="G3" s="114"/>
      <c r="H3" s="515"/>
      <c r="I3" s="516" t="s">
        <v>79</v>
      </c>
      <c r="J3" s="517">
        <f>'Crop Budget (Main)'!C11+'Crop Budget (Main)'!G11+'Crop Budget (Main)'!K11</f>
        <v>3</v>
      </c>
      <c r="K3" s="2"/>
      <c r="L3" s="2"/>
      <c r="M3" s="518"/>
      <c r="N3" s="2"/>
      <c r="O3" s="2"/>
      <c r="P3" s="2"/>
      <c r="Q3" s="2"/>
      <c r="R3" s="2"/>
      <c r="S3" s="2"/>
      <c r="T3" s="2"/>
      <c r="U3" s="2"/>
      <c r="V3" s="2"/>
      <c r="W3"/>
    </row>
    <row r="4" spans="1:23" ht="16.2" thickBot="1">
      <c r="A4"/>
      <c r="B4" s="1002" t="s">
        <v>80</v>
      </c>
      <c r="C4" s="1003"/>
      <c r="D4" s="1003"/>
      <c r="E4" s="1003"/>
      <c r="F4" s="1003"/>
      <c r="G4" s="1003"/>
      <c r="H4" s="1003"/>
      <c r="I4" s="1003"/>
      <c r="J4" s="1004"/>
      <c r="K4" s="2"/>
      <c r="L4" s="2"/>
      <c r="M4" s="518"/>
      <c r="N4" s="2"/>
      <c r="O4" s="2"/>
      <c r="P4" s="2"/>
      <c r="Q4" s="2"/>
      <c r="R4" s="2"/>
      <c r="S4" s="2"/>
      <c r="T4" s="2"/>
      <c r="U4" s="2"/>
      <c r="V4" s="2"/>
      <c r="W4"/>
    </row>
    <row r="5" spans="1:23" ht="46.8">
      <c r="A5"/>
      <c r="B5" s="101" t="s">
        <v>81</v>
      </c>
      <c r="C5" s="154" t="s">
        <v>82</v>
      </c>
      <c r="D5" s="154"/>
      <c r="E5" s="519" t="s">
        <v>83</v>
      </c>
      <c r="F5" s="519" t="s">
        <v>84</v>
      </c>
      <c r="G5" s="520" t="s">
        <v>85</v>
      </c>
      <c r="H5" s="520" t="s">
        <v>86</v>
      </c>
      <c r="I5" s="520" t="s">
        <v>87</v>
      </c>
      <c r="J5" s="521" t="s">
        <v>88</v>
      </c>
      <c r="K5" s="2"/>
      <c r="L5" s="2"/>
      <c r="M5" s="518"/>
      <c r="N5" s="2"/>
      <c r="O5" s="2"/>
      <c r="P5" s="2"/>
      <c r="Q5" s="2"/>
      <c r="R5" s="2"/>
      <c r="S5" s="2"/>
      <c r="T5" s="2"/>
      <c r="U5" s="2"/>
      <c r="V5" s="2"/>
      <c r="W5"/>
    </row>
    <row r="6" spans="1:23" ht="18">
      <c r="A6"/>
      <c r="B6" s="540" t="s">
        <v>146</v>
      </c>
      <c r="C6" s="541" t="s">
        <v>146</v>
      </c>
      <c r="D6"/>
      <c r="E6" s="541" t="s">
        <v>146</v>
      </c>
      <c r="F6" s="541" t="s">
        <v>146</v>
      </c>
      <c r="G6" s="520"/>
      <c r="H6" s="520"/>
      <c r="I6" s="520"/>
      <c r="J6" s="521"/>
      <c r="K6" s="2"/>
      <c r="L6" s="967" t="s">
        <v>392</v>
      </c>
      <c r="M6" s="968"/>
      <c r="N6" s="968"/>
      <c r="O6" s="968"/>
      <c r="P6" s="968"/>
      <c r="Q6" s="968"/>
      <c r="R6" s="968"/>
      <c r="S6" s="968"/>
      <c r="T6" s="968"/>
      <c r="U6" s="968"/>
      <c r="V6" s="970"/>
      <c r="W6"/>
    </row>
    <row r="7" spans="1:23" ht="15.6">
      <c r="B7" s="522"/>
      <c r="C7" s="523">
        <v>0</v>
      </c>
      <c r="D7" s="524"/>
      <c r="E7" s="381">
        <v>1</v>
      </c>
      <c r="F7" s="525">
        <v>0</v>
      </c>
      <c r="G7" s="222">
        <f>-1*(PMT(F7,E7,C7))</f>
        <v>0</v>
      </c>
      <c r="H7" s="222">
        <f>C7*F7</f>
        <v>0</v>
      </c>
      <c r="I7" s="526">
        <f>H7/$J$3</f>
        <v>0</v>
      </c>
      <c r="J7" s="527">
        <f>G7/$J$3</f>
        <v>0</v>
      </c>
      <c r="K7" s="2"/>
      <c r="L7" s="528"/>
      <c r="M7" s="529"/>
      <c r="N7" s="60"/>
      <c r="O7" s="60"/>
      <c r="P7" s="60"/>
      <c r="Q7" s="1005" t="s">
        <v>514</v>
      </c>
      <c r="R7" s="1006"/>
      <c r="S7" s="1007"/>
      <c r="T7" s="1005" t="s">
        <v>77</v>
      </c>
      <c r="U7" s="1006"/>
      <c r="V7" s="1007"/>
      <c r="W7"/>
    </row>
    <row r="8" spans="1:23" ht="15.6">
      <c r="B8" s="522"/>
      <c r="C8" s="523">
        <v>0</v>
      </c>
      <c r="D8" s="524"/>
      <c r="E8" s="381">
        <v>1</v>
      </c>
      <c r="F8" s="530">
        <v>0</v>
      </c>
      <c r="G8" s="222">
        <f>-1*(PMT(F8,E8,C8))</f>
        <v>0</v>
      </c>
      <c r="H8" s="222">
        <f>C8*F8</f>
        <v>0</v>
      </c>
      <c r="I8" s="526">
        <f>H8/$J$3</f>
        <v>0</v>
      </c>
      <c r="J8" s="527">
        <f>G8/$J$3</f>
        <v>0</v>
      </c>
      <c r="K8" s="2"/>
      <c r="L8" s="190"/>
      <c r="M8" s="529"/>
      <c r="N8" s="1008" t="s">
        <v>294</v>
      </c>
      <c r="O8" s="1008" t="s">
        <v>295</v>
      </c>
      <c r="P8" s="1009" t="s">
        <v>296</v>
      </c>
      <c r="Q8" s="531" t="s">
        <v>515</v>
      </c>
      <c r="R8" s="532" t="s">
        <v>516</v>
      </c>
      <c r="S8" s="533" t="s">
        <v>517</v>
      </c>
      <c r="T8" s="531" t="s">
        <v>515</v>
      </c>
      <c r="U8" s="532" t="s">
        <v>516</v>
      </c>
      <c r="V8" s="533" t="s">
        <v>517</v>
      </c>
      <c r="W8"/>
    </row>
    <row r="9" spans="1:23" ht="15.6">
      <c r="B9" s="522"/>
      <c r="C9" s="523">
        <v>0</v>
      </c>
      <c r="D9" s="524"/>
      <c r="E9" s="381">
        <v>1</v>
      </c>
      <c r="F9" s="530">
        <v>0</v>
      </c>
      <c r="G9" s="222">
        <f>-1*(PMT(F9,E9,C9))</f>
        <v>0</v>
      </c>
      <c r="H9" s="222">
        <f>C9*F9</f>
        <v>0</v>
      </c>
      <c r="I9" s="526">
        <f>H9/$J$3</f>
        <v>0</v>
      </c>
      <c r="J9" s="527">
        <f>G9/$J$3</f>
        <v>0</v>
      </c>
      <c r="K9" s="2"/>
      <c r="L9" s="312" t="s">
        <v>404</v>
      </c>
      <c r="M9" s="534" t="s">
        <v>518</v>
      </c>
      <c r="N9" s="1008"/>
      <c r="O9" s="1008"/>
      <c r="P9" s="1009"/>
      <c r="Q9" s="190"/>
      <c r="R9" s="2"/>
      <c r="S9" s="195"/>
      <c r="T9" s="190"/>
      <c r="U9" s="2"/>
      <c r="V9" s="195"/>
      <c r="W9"/>
    </row>
    <row r="10" spans="1:23" ht="15.6">
      <c r="B10" s="522"/>
      <c r="C10" s="523">
        <v>0</v>
      </c>
      <c r="D10" s="524"/>
      <c r="E10" s="381">
        <v>1</v>
      </c>
      <c r="F10" s="530">
        <v>0</v>
      </c>
      <c r="G10" s="222">
        <f>-1*(PMT(F10,E10,C10))</f>
        <v>0</v>
      </c>
      <c r="H10" s="222">
        <f>C10*F10</f>
        <v>0</v>
      </c>
      <c r="I10" s="526">
        <f>H10/$J$3</f>
        <v>0</v>
      </c>
      <c r="J10" s="527">
        <f>G10/$J$3</f>
        <v>0</v>
      </c>
      <c r="K10" s="2"/>
      <c r="L10" s="313" t="s">
        <v>394</v>
      </c>
      <c r="M10" s="71">
        <f>H13</f>
        <v>0</v>
      </c>
      <c r="N10" s="103">
        <f>'Crop Budget (Main)'!$C$11</f>
        <v>1</v>
      </c>
      <c r="O10" s="103">
        <f>'Crop Budget (Main)'!$G$11</f>
        <v>1</v>
      </c>
      <c r="P10" s="103">
        <f>'Crop Budget (Main)'!$K$11</f>
        <v>1</v>
      </c>
      <c r="Q10" s="243">
        <f>M10/(N10+O10+P10)*N10</f>
        <v>0</v>
      </c>
      <c r="R10" s="73">
        <f>M10/(N10+O10+P10)*O10</f>
        <v>0</v>
      </c>
      <c r="S10" s="308">
        <f>M10/(N10+O10+P10)*P10</f>
        <v>0</v>
      </c>
      <c r="T10" s="243">
        <f t="shared" ref="T10:V12" si="0">Q10/N10</f>
        <v>0</v>
      </c>
      <c r="U10" s="73">
        <f t="shared" si="0"/>
        <v>0</v>
      </c>
      <c r="V10" s="308">
        <f t="shared" si="0"/>
        <v>0</v>
      </c>
      <c r="W10"/>
    </row>
    <row r="11" spans="1:23" ht="15.6">
      <c r="B11" s="522"/>
      <c r="C11" s="523">
        <v>0</v>
      </c>
      <c r="D11" s="524"/>
      <c r="E11" s="381">
        <v>1</v>
      </c>
      <c r="F11" s="530">
        <v>0</v>
      </c>
      <c r="G11" s="222">
        <f t="shared" ref="G11:G12" si="1">-1*(PMT(F11,E11,C11))</f>
        <v>0</v>
      </c>
      <c r="H11" s="222">
        <f t="shared" ref="H11:H12" si="2">C11*F11</f>
        <v>0</v>
      </c>
      <c r="I11" s="526">
        <f t="shared" ref="I11:I12" si="3">H11/$J$3</f>
        <v>0</v>
      </c>
      <c r="J11" s="527">
        <f t="shared" ref="J11:J12" si="4">G11/$J$3</f>
        <v>0</v>
      </c>
      <c r="K11" s="2"/>
      <c r="L11" s="313" t="s">
        <v>393</v>
      </c>
      <c r="M11" s="71">
        <f>H29</f>
        <v>0</v>
      </c>
      <c r="N11" s="103">
        <f>'Crop Budget (Main)'!$C$11</f>
        <v>1</v>
      </c>
      <c r="O11" s="103">
        <f>'Crop Budget (Main)'!$G$11</f>
        <v>1</v>
      </c>
      <c r="P11" s="103">
        <f>'Crop Budget (Main)'!$K$11</f>
        <v>1</v>
      </c>
      <c r="Q11" s="243">
        <f>M11/(N11+O11+P11)*N11</f>
        <v>0</v>
      </c>
      <c r="R11" s="73">
        <f>M11/(N11+O11+P11)*O11</f>
        <v>0</v>
      </c>
      <c r="S11" s="308">
        <f>M11/(N11+O11+P11)*P11</f>
        <v>0</v>
      </c>
      <c r="T11" s="243">
        <f t="shared" si="0"/>
        <v>0</v>
      </c>
      <c r="U11" s="73">
        <f t="shared" si="0"/>
        <v>0</v>
      </c>
      <c r="V11" s="308">
        <f t="shared" si="0"/>
        <v>0</v>
      </c>
      <c r="W11"/>
    </row>
    <row r="12" spans="1:23" ht="15.6">
      <c r="B12" s="522"/>
      <c r="C12" s="523">
        <v>0</v>
      </c>
      <c r="D12" s="524"/>
      <c r="E12" s="381">
        <v>1</v>
      </c>
      <c r="F12" s="530">
        <v>0</v>
      </c>
      <c r="G12" s="222">
        <f t="shared" si="1"/>
        <v>0</v>
      </c>
      <c r="H12" s="222">
        <f t="shared" si="2"/>
        <v>0</v>
      </c>
      <c r="I12" s="526">
        <f t="shared" si="3"/>
        <v>0</v>
      </c>
      <c r="J12" s="527">
        <f t="shared" si="4"/>
        <v>0</v>
      </c>
      <c r="K12" s="2"/>
      <c r="L12" s="313" t="s">
        <v>396</v>
      </c>
      <c r="M12" s="74">
        <f>H42</f>
        <v>0</v>
      </c>
      <c r="N12" s="103">
        <f>'Crop Budget (Main)'!$C$11</f>
        <v>1</v>
      </c>
      <c r="O12" s="103">
        <f>'Crop Budget (Main)'!$G$11</f>
        <v>1</v>
      </c>
      <c r="P12" s="103">
        <f>'Crop Budget (Main)'!$K$11</f>
        <v>1</v>
      </c>
      <c r="Q12" s="243">
        <f>M12/(N12+O12+P12)*N12</f>
        <v>0</v>
      </c>
      <c r="R12" s="73">
        <f>M12/(N12+O12+P12)*O12</f>
        <v>0</v>
      </c>
      <c r="S12" s="308">
        <f>M12/(N12+O12+P12)*P12</f>
        <v>0</v>
      </c>
      <c r="T12" s="243">
        <f t="shared" si="0"/>
        <v>0</v>
      </c>
      <c r="U12" s="73">
        <f t="shared" si="0"/>
        <v>0</v>
      </c>
      <c r="V12" s="308">
        <f t="shared" si="0"/>
        <v>0</v>
      </c>
      <c r="W12"/>
    </row>
    <row r="13" spans="1:23" ht="15.6">
      <c r="B13" s="101" t="s">
        <v>89</v>
      </c>
      <c r="C13" s="154"/>
      <c r="D13" s="154"/>
      <c r="E13" s="535"/>
      <c r="F13" s="535"/>
      <c r="G13" s="535">
        <f>SUM(G7:G12)</f>
        <v>0</v>
      </c>
      <c r="H13" s="535">
        <f>SUM(H7:H12)</f>
        <v>0</v>
      </c>
      <c r="I13" s="535">
        <f>SUM(I7:I12)</f>
        <v>0</v>
      </c>
      <c r="J13" s="536">
        <f>SUM(J7:J12)</f>
        <v>0</v>
      </c>
      <c r="K13" s="2"/>
      <c r="L13" s="312" t="s">
        <v>391</v>
      </c>
      <c r="M13" s="518"/>
      <c r="N13" s="518"/>
      <c r="O13" s="518"/>
      <c r="P13" s="518"/>
      <c r="Q13" s="190"/>
      <c r="R13" s="2"/>
      <c r="S13" s="195"/>
      <c r="T13" s="190"/>
      <c r="U13" s="2"/>
      <c r="V13" s="195"/>
      <c r="W13"/>
    </row>
    <row r="14" spans="1:23" ht="16.2" thickBot="1">
      <c r="B14" s="21"/>
      <c r="C14" s="2"/>
      <c r="D14" s="2"/>
      <c r="E14" s="2"/>
      <c r="F14" s="2"/>
      <c r="G14" s="2"/>
      <c r="H14" s="2"/>
      <c r="I14" s="2"/>
      <c r="J14" s="58"/>
      <c r="K14" s="2"/>
      <c r="L14" s="313" t="s">
        <v>395</v>
      </c>
      <c r="M14" s="74">
        <f>G29-H29</f>
        <v>0</v>
      </c>
      <c r="N14" s="103">
        <f>'Crop Budget (Main)'!$C$11</f>
        <v>1</v>
      </c>
      <c r="O14" s="103">
        <f>'Crop Budget (Main)'!$G$11</f>
        <v>1</v>
      </c>
      <c r="P14" s="103">
        <f>'Crop Budget (Main)'!$K$11</f>
        <v>1</v>
      </c>
      <c r="Q14" s="243">
        <f>M14/(N14+O14+P14)*N14</f>
        <v>0</v>
      </c>
      <c r="R14" s="73">
        <f>M14/(N14+O14+P14)*O14</f>
        <v>0</v>
      </c>
      <c r="S14" s="308">
        <f>M14/(N14+O14+P14)*P14</f>
        <v>0</v>
      </c>
      <c r="T14" s="243">
        <f t="shared" ref="T14:V15" si="5">Q14/N14</f>
        <v>0</v>
      </c>
      <c r="U14" s="73">
        <f t="shared" si="5"/>
        <v>0</v>
      </c>
      <c r="V14" s="308">
        <f t="shared" si="5"/>
        <v>0</v>
      </c>
      <c r="W14"/>
    </row>
    <row r="15" spans="1:23" ht="16.2" thickBot="1">
      <c r="B15" s="1002" t="s">
        <v>90</v>
      </c>
      <c r="C15" s="1003"/>
      <c r="D15" s="1003"/>
      <c r="E15" s="1003"/>
      <c r="F15" s="1003"/>
      <c r="G15" s="1003"/>
      <c r="H15" s="1003"/>
      <c r="I15" s="1003"/>
      <c r="J15" s="1004"/>
      <c r="K15" s="2"/>
      <c r="L15" s="537" t="s">
        <v>397</v>
      </c>
      <c r="M15" s="314">
        <f>G42-H42</f>
        <v>0</v>
      </c>
      <c r="N15" s="538">
        <f>'Crop Budget (Main)'!$C$11</f>
        <v>1</v>
      </c>
      <c r="O15" s="538">
        <f>'Crop Budget (Main)'!$G$11</f>
        <v>1</v>
      </c>
      <c r="P15" s="538">
        <f>'Crop Budget (Main)'!$K$11</f>
        <v>1</v>
      </c>
      <c r="Q15" s="309">
        <f>M15/(N15+O15+P15)*N15</f>
        <v>0</v>
      </c>
      <c r="R15" s="310">
        <f>M15/(N15+O15+P15)*O15</f>
        <v>0</v>
      </c>
      <c r="S15" s="311">
        <f>M15/(N15+O15+P15)*P15</f>
        <v>0</v>
      </c>
      <c r="T15" s="309">
        <f t="shared" si="5"/>
        <v>0</v>
      </c>
      <c r="U15" s="310">
        <f t="shared" si="5"/>
        <v>0</v>
      </c>
      <c r="V15" s="311">
        <f t="shared" si="5"/>
        <v>0</v>
      </c>
      <c r="W15"/>
    </row>
    <row r="16" spans="1:23" ht="46.8">
      <c r="B16" s="101" t="s">
        <v>81</v>
      </c>
      <c r="C16" s="154" t="s">
        <v>82</v>
      </c>
      <c r="D16" s="154"/>
      <c r="E16" s="519" t="s">
        <v>83</v>
      </c>
      <c r="F16" s="519" t="s">
        <v>84</v>
      </c>
      <c r="G16" s="520" t="s">
        <v>85</v>
      </c>
      <c r="H16" s="520" t="s">
        <v>86</v>
      </c>
      <c r="I16" s="520" t="s">
        <v>87</v>
      </c>
      <c r="J16" s="521" t="s">
        <v>88</v>
      </c>
      <c r="K16" s="2"/>
      <c r="L16" s="2"/>
      <c r="M16" s="518"/>
      <c r="N16" s="2"/>
      <c r="O16" s="2"/>
      <c r="P16" s="2"/>
      <c r="Q16" s="2"/>
      <c r="R16" s="2"/>
      <c r="S16" s="2"/>
      <c r="T16" s="2"/>
      <c r="U16" s="2"/>
      <c r="V16" s="2"/>
      <c r="W16"/>
    </row>
    <row r="17" spans="2:28" ht="15.6">
      <c r="B17" s="540" t="s">
        <v>146</v>
      </c>
      <c r="C17" s="541" t="s">
        <v>146</v>
      </c>
      <c r="D17"/>
      <c r="E17" s="541" t="s">
        <v>146</v>
      </c>
      <c r="F17" s="541" t="s">
        <v>146</v>
      </c>
      <c r="G17" s="520"/>
      <c r="H17" s="520"/>
      <c r="I17" s="520"/>
      <c r="J17" s="521"/>
      <c r="K17" s="2"/>
      <c r="L17" s="2"/>
      <c r="M17" s="518"/>
      <c r="N17" s="2"/>
      <c r="O17" s="2"/>
      <c r="P17" s="2"/>
      <c r="Q17" s="2"/>
      <c r="R17" s="2"/>
      <c r="S17" s="2"/>
      <c r="T17" s="2"/>
      <c r="U17" s="2"/>
      <c r="V17" s="2"/>
      <c r="W17"/>
    </row>
    <row r="18" spans="2:28" ht="15.6">
      <c r="B18" s="522"/>
      <c r="C18" s="523">
        <v>0</v>
      </c>
      <c r="D18" s="524"/>
      <c r="E18" s="381">
        <v>1</v>
      </c>
      <c r="F18" s="530">
        <v>0</v>
      </c>
      <c r="G18" s="222">
        <f t="shared" ref="G18:G28" si="6">-1*(PMT(F18,E18,C18))</f>
        <v>0</v>
      </c>
      <c r="H18" s="222">
        <f t="shared" ref="H18:H28" si="7">C18*F18</f>
        <v>0</v>
      </c>
      <c r="I18" s="526">
        <f t="shared" ref="I18:I28" si="8">H18/$J$3</f>
        <v>0</v>
      </c>
      <c r="J18" s="527">
        <f>G18/$J$3</f>
        <v>0</v>
      </c>
      <c r="K18" s="2"/>
      <c r="L18" s="2"/>
      <c r="M18" s="518"/>
      <c r="N18" s="60"/>
      <c r="O18" s="60"/>
      <c r="P18" s="60"/>
      <c r="Q18" s="60"/>
      <c r="R18" s="60"/>
      <c r="S18" s="60"/>
      <c r="T18" s="2"/>
      <c r="U18" s="2"/>
      <c r="V18" s="2"/>
      <c r="W18"/>
    </row>
    <row r="19" spans="2:28" ht="15.6">
      <c r="B19" s="522"/>
      <c r="C19" s="523">
        <v>0</v>
      </c>
      <c r="D19" s="524"/>
      <c r="E19" s="381">
        <v>1</v>
      </c>
      <c r="F19" s="530">
        <v>0</v>
      </c>
      <c r="G19" s="222">
        <f t="shared" si="6"/>
        <v>0</v>
      </c>
      <c r="H19" s="222">
        <f t="shared" si="7"/>
        <v>0</v>
      </c>
      <c r="I19" s="526">
        <f t="shared" si="8"/>
        <v>0</v>
      </c>
      <c r="J19" s="527">
        <f t="shared" ref="J19:J28" si="9">G19/$J$3</f>
        <v>0</v>
      </c>
      <c r="K19" s="2"/>
      <c r="L19" s="2"/>
      <c r="M19" s="518"/>
      <c r="N19" s="60"/>
      <c r="O19" s="60"/>
      <c r="P19" s="60"/>
      <c r="Q19" s="2"/>
      <c r="R19" s="2"/>
      <c r="S19" s="2"/>
      <c r="T19" s="2"/>
      <c r="U19" s="2"/>
      <c r="V19" s="2"/>
      <c r="W19"/>
    </row>
    <row r="20" spans="2:28" ht="15.6">
      <c r="B20" s="522"/>
      <c r="C20" s="523">
        <v>0</v>
      </c>
      <c r="D20" s="524"/>
      <c r="E20" s="381">
        <v>1</v>
      </c>
      <c r="F20" s="530">
        <v>0</v>
      </c>
      <c r="G20" s="222">
        <f t="shared" si="6"/>
        <v>0</v>
      </c>
      <c r="H20" s="222">
        <f t="shared" si="7"/>
        <v>0</v>
      </c>
      <c r="I20" s="526">
        <f t="shared" si="8"/>
        <v>0</v>
      </c>
      <c r="J20" s="527">
        <f t="shared" si="9"/>
        <v>0</v>
      </c>
      <c r="K20" s="2"/>
      <c r="L20" s="2"/>
      <c r="M20" s="518"/>
      <c r="N20" s="60"/>
      <c r="O20" s="60"/>
      <c r="P20" s="60"/>
      <c r="Q20" s="103"/>
      <c r="R20" s="103"/>
      <c r="S20" s="103"/>
      <c r="T20" s="2"/>
      <c r="U20" s="2"/>
      <c r="V20" s="2"/>
      <c r="W20" s="66"/>
      <c r="X20" s="63"/>
      <c r="Y20" s="63"/>
      <c r="Z20" s="63"/>
      <c r="AA20" s="63"/>
      <c r="AB20" s="63"/>
    </row>
    <row r="21" spans="2:28" ht="15.6">
      <c r="B21" s="522"/>
      <c r="C21" s="523">
        <v>0</v>
      </c>
      <c r="D21" s="524"/>
      <c r="E21" s="381">
        <v>1</v>
      </c>
      <c r="F21" s="530">
        <v>0</v>
      </c>
      <c r="G21" s="222">
        <f t="shared" si="6"/>
        <v>0</v>
      </c>
      <c r="H21" s="222">
        <f t="shared" si="7"/>
        <v>0</v>
      </c>
      <c r="I21" s="526">
        <f t="shared" si="8"/>
        <v>0</v>
      </c>
      <c r="J21" s="527">
        <f t="shared" si="9"/>
        <v>0</v>
      </c>
      <c r="K21" s="2"/>
      <c r="L21" s="2"/>
      <c r="M21" s="518"/>
      <c r="N21" s="60"/>
      <c r="O21" s="60"/>
      <c r="P21" s="60"/>
      <c r="Q21" s="103"/>
      <c r="R21" s="103"/>
      <c r="S21" s="103"/>
      <c r="T21" s="2"/>
      <c r="U21" s="2"/>
      <c r="V21" s="2"/>
      <c r="W21"/>
    </row>
    <row r="22" spans="2:28" ht="15.6">
      <c r="B22" s="522"/>
      <c r="C22" s="523">
        <v>0</v>
      </c>
      <c r="D22" s="524"/>
      <c r="E22" s="381">
        <v>1</v>
      </c>
      <c r="F22" s="530">
        <v>0</v>
      </c>
      <c r="G22" s="222">
        <f t="shared" si="6"/>
        <v>0</v>
      </c>
      <c r="H22" s="222">
        <f t="shared" si="7"/>
        <v>0</v>
      </c>
      <c r="I22" s="526">
        <f t="shared" si="8"/>
        <v>0</v>
      </c>
      <c r="J22" s="527">
        <f t="shared" si="9"/>
        <v>0</v>
      </c>
      <c r="K22" s="2"/>
      <c r="L22" s="2"/>
      <c r="M22" s="518"/>
      <c r="N22" s="60"/>
      <c r="O22" s="60"/>
      <c r="P22" s="60"/>
      <c r="Q22" s="103"/>
      <c r="R22" s="103"/>
      <c r="S22" s="103"/>
      <c r="T22" s="2"/>
      <c r="U22" s="2"/>
      <c r="V22" s="2"/>
      <c r="W22"/>
    </row>
    <row r="23" spans="2:28" ht="15.6">
      <c r="B23" s="522"/>
      <c r="C23" s="523">
        <v>0</v>
      </c>
      <c r="D23" s="524"/>
      <c r="E23" s="381">
        <v>1</v>
      </c>
      <c r="F23" s="530">
        <v>0</v>
      </c>
      <c r="G23" s="222">
        <f t="shared" si="6"/>
        <v>0</v>
      </c>
      <c r="H23" s="222">
        <f t="shared" si="7"/>
        <v>0</v>
      </c>
      <c r="I23" s="526">
        <f t="shared" si="8"/>
        <v>0</v>
      </c>
      <c r="J23" s="527">
        <f t="shared" si="9"/>
        <v>0</v>
      </c>
      <c r="K23" s="2"/>
      <c r="L23" s="2"/>
      <c r="M23" s="518"/>
      <c r="N23" s="60"/>
      <c r="O23" s="60"/>
      <c r="P23" s="60"/>
      <c r="Q23" s="2"/>
      <c r="R23" s="2"/>
      <c r="S23" s="2"/>
      <c r="T23" s="2"/>
      <c r="U23" s="2"/>
      <c r="V23" s="2"/>
      <c r="W23"/>
    </row>
    <row r="24" spans="2:28" ht="15.6">
      <c r="B24" s="522"/>
      <c r="C24" s="523">
        <v>0</v>
      </c>
      <c r="D24" s="524"/>
      <c r="E24" s="381">
        <v>1</v>
      </c>
      <c r="F24" s="530">
        <v>0</v>
      </c>
      <c r="G24" s="222">
        <f t="shared" si="6"/>
        <v>0</v>
      </c>
      <c r="H24" s="222">
        <f t="shared" si="7"/>
        <v>0</v>
      </c>
      <c r="I24" s="526">
        <f t="shared" si="8"/>
        <v>0</v>
      </c>
      <c r="J24" s="527">
        <f t="shared" si="9"/>
        <v>0</v>
      </c>
      <c r="K24" s="2"/>
      <c r="L24" s="2"/>
      <c r="M24" s="518"/>
      <c r="N24" s="60"/>
      <c r="O24" s="60"/>
      <c r="P24" s="60"/>
      <c r="Q24" s="19"/>
      <c r="R24" s="19"/>
      <c r="S24" s="19"/>
      <c r="T24" s="2"/>
      <c r="U24" s="2"/>
      <c r="V24" s="2"/>
      <c r="W24"/>
    </row>
    <row r="25" spans="2:28" ht="15.6">
      <c r="B25" s="522"/>
      <c r="C25" s="523">
        <v>0</v>
      </c>
      <c r="D25" s="524"/>
      <c r="E25" s="381">
        <v>1</v>
      </c>
      <c r="F25" s="530">
        <v>0</v>
      </c>
      <c r="G25" s="222">
        <f t="shared" si="6"/>
        <v>0</v>
      </c>
      <c r="H25" s="222">
        <f t="shared" si="7"/>
        <v>0</v>
      </c>
      <c r="I25" s="526">
        <f t="shared" si="8"/>
        <v>0</v>
      </c>
      <c r="J25" s="527">
        <f t="shared" si="9"/>
        <v>0</v>
      </c>
      <c r="K25" s="2"/>
      <c r="L25" s="2"/>
      <c r="M25" s="518"/>
      <c r="N25" s="60"/>
      <c r="O25" s="60"/>
      <c r="P25" s="60"/>
      <c r="Q25" s="117"/>
      <c r="R25" s="117"/>
      <c r="S25" s="117"/>
      <c r="T25" s="2"/>
      <c r="U25" s="2"/>
      <c r="V25" s="2"/>
      <c r="W25"/>
    </row>
    <row r="26" spans="2:28" ht="15.6">
      <c r="B26" s="522"/>
      <c r="C26" s="523">
        <v>0</v>
      </c>
      <c r="D26" s="524"/>
      <c r="E26" s="381">
        <v>1</v>
      </c>
      <c r="F26" s="530">
        <v>0</v>
      </c>
      <c r="G26" s="222">
        <f t="shared" si="6"/>
        <v>0</v>
      </c>
      <c r="H26" s="222">
        <f t="shared" si="7"/>
        <v>0</v>
      </c>
      <c r="I26" s="526">
        <f t="shared" si="8"/>
        <v>0</v>
      </c>
      <c r="J26" s="527">
        <f t="shared" si="9"/>
        <v>0</v>
      </c>
      <c r="K26" s="2"/>
      <c r="L26" s="2"/>
      <c r="M26" s="518"/>
      <c r="N26" s="2"/>
      <c r="O26" s="2"/>
      <c r="P26" s="2"/>
      <c r="Q26" s="539"/>
      <c r="R26" s="539"/>
      <c r="S26" s="539"/>
      <c r="T26" s="2"/>
      <c r="U26" s="2"/>
      <c r="V26" s="2"/>
      <c r="W26"/>
    </row>
    <row r="27" spans="2:28" ht="15.6">
      <c r="B27" s="522"/>
      <c r="C27" s="523">
        <v>0</v>
      </c>
      <c r="D27" s="524"/>
      <c r="E27" s="381">
        <v>1</v>
      </c>
      <c r="F27" s="530">
        <v>0</v>
      </c>
      <c r="G27" s="222">
        <f t="shared" si="6"/>
        <v>0</v>
      </c>
      <c r="H27" s="222">
        <f t="shared" si="7"/>
        <v>0</v>
      </c>
      <c r="I27" s="526">
        <f t="shared" si="8"/>
        <v>0</v>
      </c>
      <c r="J27" s="527">
        <f t="shared" si="9"/>
        <v>0</v>
      </c>
      <c r="K27" s="2"/>
      <c r="L27" s="2"/>
      <c r="M27" s="518"/>
      <c r="N27" s="2"/>
      <c r="O27" s="2"/>
      <c r="P27" s="2"/>
      <c r="Q27" s="60"/>
      <c r="R27" s="60"/>
      <c r="S27" s="60"/>
      <c r="T27" s="2"/>
      <c r="U27" s="2"/>
      <c r="V27" s="2"/>
      <c r="W27"/>
    </row>
    <row r="28" spans="2:28" ht="15.6">
      <c r="B28" s="522"/>
      <c r="C28" s="523">
        <v>0</v>
      </c>
      <c r="D28" s="524"/>
      <c r="E28" s="381">
        <v>1</v>
      </c>
      <c r="F28" s="530">
        <v>0</v>
      </c>
      <c r="G28" s="222">
        <f t="shared" si="6"/>
        <v>0</v>
      </c>
      <c r="H28" s="222">
        <f t="shared" si="7"/>
        <v>0</v>
      </c>
      <c r="I28" s="526">
        <f t="shared" si="8"/>
        <v>0</v>
      </c>
      <c r="J28" s="527">
        <f t="shared" si="9"/>
        <v>0</v>
      </c>
      <c r="K28" s="2"/>
      <c r="L28" s="2"/>
      <c r="M28" s="518"/>
      <c r="N28" s="2"/>
      <c r="O28" s="2"/>
      <c r="P28" s="2"/>
      <c r="Q28" s="60"/>
      <c r="R28" s="60"/>
      <c r="S28" s="60"/>
      <c r="T28" s="2"/>
      <c r="U28" s="2"/>
      <c r="V28" s="2"/>
      <c r="W28"/>
    </row>
    <row r="29" spans="2:28" ht="15.6">
      <c r="B29" s="101" t="s">
        <v>89</v>
      </c>
      <c r="C29" s="154"/>
      <c r="D29" s="154"/>
      <c r="E29" s="535"/>
      <c r="F29" s="535"/>
      <c r="G29" s="535">
        <f>SUM(G18:G28)</f>
        <v>0</v>
      </c>
      <c r="H29" s="535">
        <f>SUM(H18:H28)</f>
        <v>0</v>
      </c>
      <c r="I29" s="535">
        <f>SUM(I18:I28)</f>
        <v>0</v>
      </c>
      <c r="J29" s="536">
        <f>SUM(J18:J28)</f>
        <v>0</v>
      </c>
      <c r="K29" s="2"/>
      <c r="L29" s="2"/>
      <c r="M29" s="518"/>
      <c r="N29" s="2"/>
      <c r="O29" s="2"/>
      <c r="P29" s="2"/>
      <c r="Q29" s="60"/>
      <c r="R29" s="60"/>
      <c r="S29" s="60"/>
      <c r="T29" s="2"/>
      <c r="U29" s="2"/>
      <c r="V29" s="2"/>
      <c r="W29"/>
    </row>
    <row r="30" spans="2:28" ht="16.2" thickBot="1">
      <c r="B30" s="21"/>
      <c r="C30" s="2"/>
      <c r="D30" s="2"/>
      <c r="E30" s="520"/>
      <c r="F30" s="520"/>
      <c r="G30" s="520"/>
      <c r="H30" s="520"/>
      <c r="I30" s="520"/>
      <c r="J30" s="521"/>
      <c r="K30" s="2"/>
      <c r="L30" s="2"/>
      <c r="M30" s="518"/>
      <c r="N30" s="2"/>
      <c r="O30" s="2"/>
      <c r="P30" s="2"/>
      <c r="Q30" s="60"/>
      <c r="R30" s="60"/>
      <c r="S30" s="60"/>
      <c r="T30" s="2"/>
      <c r="U30" s="2"/>
      <c r="V30" s="2"/>
      <c r="W30"/>
    </row>
    <row r="31" spans="2:28" ht="16.2" thickBot="1">
      <c r="B31" s="1002" t="s">
        <v>128</v>
      </c>
      <c r="C31" s="1003"/>
      <c r="D31" s="1003"/>
      <c r="E31" s="1003"/>
      <c r="F31" s="1003"/>
      <c r="G31" s="1003"/>
      <c r="H31" s="1003"/>
      <c r="I31" s="1003"/>
      <c r="J31" s="1004"/>
      <c r="K31" s="2"/>
      <c r="L31" s="2"/>
      <c r="M31" s="518"/>
      <c r="N31" s="2"/>
      <c r="O31" s="2"/>
      <c r="P31" s="2"/>
      <c r="Q31" s="2"/>
      <c r="R31" s="2"/>
      <c r="S31" s="2"/>
      <c r="T31" s="2"/>
      <c r="U31" s="2"/>
      <c r="V31" s="2"/>
      <c r="W31"/>
    </row>
    <row r="32" spans="2:28" ht="46.8">
      <c r="B32" s="101" t="s">
        <v>81</v>
      </c>
      <c r="C32" s="154" t="s">
        <v>82</v>
      </c>
      <c r="D32" s="154"/>
      <c r="E32" s="519" t="s">
        <v>83</v>
      </c>
      <c r="F32" s="519" t="s">
        <v>84</v>
      </c>
      <c r="G32" s="520" t="s">
        <v>85</v>
      </c>
      <c r="H32" s="520" t="s">
        <v>86</v>
      </c>
      <c r="I32" s="520" t="s">
        <v>87</v>
      </c>
      <c r="J32" s="521" t="s">
        <v>88</v>
      </c>
      <c r="K32" s="2"/>
      <c r="L32" s="2"/>
      <c r="M32" s="518"/>
      <c r="N32" s="2"/>
      <c r="O32" s="2"/>
      <c r="P32" s="2"/>
      <c r="Q32" s="2"/>
      <c r="R32" s="2"/>
      <c r="S32" s="2"/>
      <c r="T32" s="2"/>
      <c r="U32" s="2"/>
      <c r="V32" s="2"/>
      <c r="W32"/>
    </row>
    <row r="33" spans="2:23" ht="15.6">
      <c r="B33" s="540" t="s">
        <v>146</v>
      </c>
      <c r="C33" s="541" t="s">
        <v>146</v>
      </c>
      <c r="D33"/>
      <c r="E33" s="541" t="s">
        <v>146</v>
      </c>
      <c r="F33" s="541" t="s">
        <v>146</v>
      </c>
      <c r="G33" s="520"/>
      <c r="H33" s="520"/>
      <c r="I33" s="520"/>
      <c r="J33" s="521"/>
      <c r="K33" s="2"/>
      <c r="L33" s="2"/>
      <c r="M33" s="518"/>
      <c r="N33" s="2"/>
      <c r="O33" s="2"/>
      <c r="P33" s="2"/>
      <c r="Q33" s="2"/>
      <c r="R33" s="2"/>
      <c r="S33" s="2"/>
      <c r="T33" s="2"/>
      <c r="U33" s="2"/>
      <c r="V33" s="2"/>
      <c r="W33"/>
    </row>
    <row r="34" spans="2:23" ht="15.6">
      <c r="B34" s="522"/>
      <c r="C34" s="523">
        <v>0</v>
      </c>
      <c r="D34" s="524"/>
      <c r="E34" s="381">
        <v>1</v>
      </c>
      <c r="F34" s="530">
        <v>0</v>
      </c>
      <c r="G34" s="222">
        <f>-1*(PMT(F34,E34,C34))</f>
        <v>0</v>
      </c>
      <c r="H34" s="222">
        <f>C34*F34</f>
        <v>0</v>
      </c>
      <c r="I34" s="526">
        <f t="shared" ref="I34:I39" si="10">H34/$J$3</f>
        <v>0</v>
      </c>
      <c r="J34" s="527">
        <f t="shared" ref="J34:J39" si="11">G34/$J$3</f>
        <v>0</v>
      </c>
      <c r="K34" s="2"/>
      <c r="L34" s="2"/>
      <c r="M34" s="518"/>
      <c r="N34" s="2"/>
      <c r="O34" s="2"/>
      <c r="P34" s="2"/>
      <c r="Q34" s="2"/>
      <c r="R34" s="2"/>
      <c r="S34" s="2"/>
      <c r="T34" s="2"/>
      <c r="U34" s="2"/>
      <c r="V34" s="2"/>
      <c r="W34"/>
    </row>
    <row r="35" spans="2:23" ht="15.6">
      <c r="B35" s="522"/>
      <c r="C35" s="523">
        <v>0</v>
      </c>
      <c r="D35" s="524"/>
      <c r="E35" s="381">
        <v>1</v>
      </c>
      <c r="F35" s="530">
        <v>0</v>
      </c>
      <c r="G35" s="222">
        <f t="shared" ref="G35:G39" si="12">-1*(PMT(F35,E35,C35))</f>
        <v>0</v>
      </c>
      <c r="H35" s="222">
        <f t="shared" ref="H35:H39" si="13">C35*F35</f>
        <v>0</v>
      </c>
      <c r="I35" s="526">
        <f t="shared" si="10"/>
        <v>0</v>
      </c>
      <c r="J35" s="527">
        <f t="shared" si="11"/>
        <v>0</v>
      </c>
      <c r="K35" s="2"/>
      <c r="L35" s="2"/>
      <c r="M35" s="518"/>
      <c r="N35" s="2"/>
      <c r="O35" s="2"/>
      <c r="P35" s="2"/>
      <c r="Q35" s="2"/>
      <c r="R35" s="2"/>
      <c r="S35" s="2"/>
      <c r="T35" s="2"/>
      <c r="U35" s="2"/>
      <c r="V35" s="2"/>
      <c r="W35"/>
    </row>
    <row r="36" spans="2:23" ht="15.6">
      <c r="B36" s="522"/>
      <c r="C36" s="523">
        <v>0</v>
      </c>
      <c r="D36" s="524"/>
      <c r="E36" s="381">
        <v>1</v>
      </c>
      <c r="F36" s="530">
        <v>0</v>
      </c>
      <c r="G36" s="222">
        <f t="shared" si="12"/>
        <v>0</v>
      </c>
      <c r="H36" s="222">
        <f t="shared" si="13"/>
        <v>0</v>
      </c>
      <c r="I36" s="526">
        <f t="shared" si="10"/>
        <v>0</v>
      </c>
      <c r="J36" s="527">
        <f t="shared" si="11"/>
        <v>0</v>
      </c>
      <c r="K36" s="2"/>
      <c r="L36" s="2"/>
      <c r="M36" s="518"/>
      <c r="N36" s="2"/>
      <c r="O36" s="2"/>
      <c r="P36" s="2"/>
      <c r="Q36" s="2"/>
      <c r="R36" s="2"/>
      <c r="S36" s="2"/>
      <c r="T36" s="2"/>
      <c r="U36" s="2"/>
      <c r="V36" s="2"/>
      <c r="W36"/>
    </row>
    <row r="37" spans="2:23" ht="15.6">
      <c r="B37" s="522"/>
      <c r="C37" s="523">
        <v>0</v>
      </c>
      <c r="D37" s="524"/>
      <c r="E37" s="381">
        <v>1</v>
      </c>
      <c r="F37" s="530">
        <v>0</v>
      </c>
      <c r="G37" s="222">
        <f t="shared" si="12"/>
        <v>0</v>
      </c>
      <c r="H37" s="222">
        <f t="shared" si="13"/>
        <v>0</v>
      </c>
      <c r="I37" s="526">
        <f t="shared" si="10"/>
        <v>0</v>
      </c>
      <c r="J37" s="527">
        <f t="shared" si="11"/>
        <v>0</v>
      </c>
      <c r="K37" s="2"/>
      <c r="L37" s="2"/>
      <c r="M37" s="518"/>
      <c r="N37" s="2"/>
      <c r="O37" s="2"/>
      <c r="P37" s="2"/>
      <c r="Q37" s="2"/>
      <c r="R37" s="2"/>
      <c r="S37" s="2"/>
      <c r="T37" s="2"/>
      <c r="U37" s="2"/>
      <c r="V37" s="2"/>
      <c r="W37"/>
    </row>
    <row r="38" spans="2:23" ht="15.6">
      <c r="B38" s="522"/>
      <c r="C38" s="523">
        <v>0</v>
      </c>
      <c r="D38" s="524"/>
      <c r="E38" s="381">
        <v>1</v>
      </c>
      <c r="F38" s="530">
        <v>0</v>
      </c>
      <c r="G38" s="222">
        <f t="shared" si="12"/>
        <v>0</v>
      </c>
      <c r="H38" s="222">
        <f t="shared" si="13"/>
        <v>0</v>
      </c>
      <c r="I38" s="526">
        <f t="shared" si="10"/>
        <v>0</v>
      </c>
      <c r="J38" s="527">
        <f t="shared" si="11"/>
        <v>0</v>
      </c>
      <c r="K38" s="2"/>
      <c r="L38" s="2"/>
      <c r="M38" s="518"/>
      <c r="N38" s="2"/>
      <c r="O38" s="2"/>
      <c r="P38" s="2"/>
      <c r="Q38" s="2"/>
      <c r="R38" s="2"/>
      <c r="S38" s="2"/>
      <c r="T38" s="2"/>
      <c r="U38" s="2"/>
      <c r="V38" s="2"/>
      <c r="W38"/>
    </row>
    <row r="39" spans="2:23" ht="15.6">
      <c r="B39" s="522"/>
      <c r="C39" s="523">
        <v>0</v>
      </c>
      <c r="D39" s="524"/>
      <c r="E39" s="381">
        <v>1</v>
      </c>
      <c r="F39" s="530">
        <v>0</v>
      </c>
      <c r="G39" s="222">
        <f t="shared" si="12"/>
        <v>0</v>
      </c>
      <c r="H39" s="222">
        <f t="shared" si="13"/>
        <v>0</v>
      </c>
      <c r="I39" s="526">
        <f t="shared" si="10"/>
        <v>0</v>
      </c>
      <c r="J39" s="527">
        <f t="shared" si="11"/>
        <v>0</v>
      </c>
      <c r="K39" s="2"/>
      <c r="L39" s="2"/>
      <c r="M39" s="518"/>
      <c r="N39" s="2"/>
      <c r="O39" s="2"/>
      <c r="P39" s="2"/>
      <c r="Q39" s="2"/>
      <c r="R39" s="2"/>
      <c r="S39" s="2"/>
      <c r="T39" s="2"/>
      <c r="U39" s="2"/>
      <c r="V39" s="2"/>
      <c r="W39"/>
    </row>
    <row r="40" spans="2:23" ht="15.6">
      <c r="B40" s="522"/>
      <c r="C40" s="523">
        <v>0</v>
      </c>
      <c r="D40" s="524"/>
      <c r="E40" s="381">
        <v>1</v>
      </c>
      <c r="F40" s="530">
        <v>0</v>
      </c>
      <c r="G40" s="222">
        <f t="shared" ref="G40:G41" si="14">-1*(PMT(F40,E40,C40))</f>
        <v>0</v>
      </c>
      <c r="H40" s="222">
        <f t="shared" ref="H40:H41" si="15">C40*F40</f>
        <v>0</v>
      </c>
      <c r="I40" s="526">
        <f t="shared" ref="I40:I41" si="16">H40/$J$3</f>
        <v>0</v>
      </c>
      <c r="J40" s="527">
        <f t="shared" ref="J40:J41" si="17">G40/$J$3</f>
        <v>0</v>
      </c>
      <c r="K40" s="2"/>
      <c r="L40" s="2"/>
      <c r="M40" s="518"/>
      <c r="N40" s="2"/>
      <c r="O40" s="2"/>
      <c r="P40" s="2"/>
      <c r="Q40" s="2"/>
      <c r="R40" s="2"/>
      <c r="S40" s="2"/>
      <c r="T40" s="2"/>
      <c r="U40" s="2"/>
      <c r="V40" s="2"/>
      <c r="W40"/>
    </row>
    <row r="41" spans="2:23" ht="15.6">
      <c r="B41" s="522"/>
      <c r="C41" s="523">
        <v>0</v>
      </c>
      <c r="D41" s="524"/>
      <c r="E41" s="381">
        <v>1</v>
      </c>
      <c r="F41" s="530">
        <v>0</v>
      </c>
      <c r="G41" s="222">
        <f t="shared" si="14"/>
        <v>0</v>
      </c>
      <c r="H41" s="222">
        <f t="shared" si="15"/>
        <v>0</v>
      </c>
      <c r="I41" s="526">
        <f t="shared" si="16"/>
        <v>0</v>
      </c>
      <c r="J41" s="527">
        <f t="shared" si="17"/>
        <v>0</v>
      </c>
      <c r="K41" s="2"/>
      <c r="L41" s="2"/>
      <c r="M41" s="518"/>
      <c r="N41" s="2"/>
      <c r="O41" s="2"/>
      <c r="P41" s="2"/>
      <c r="Q41" s="2"/>
      <c r="R41" s="2"/>
      <c r="S41" s="2"/>
      <c r="T41" s="2"/>
      <c r="U41" s="2"/>
      <c r="V41" s="2"/>
      <c r="W41"/>
    </row>
    <row r="42" spans="2:23" ht="15.6">
      <c r="B42" s="101" t="s">
        <v>89</v>
      </c>
      <c r="C42" s="154"/>
      <c r="D42" s="154"/>
      <c r="E42" s="535"/>
      <c r="F42" s="535"/>
      <c r="G42" s="535">
        <f>SUM(G34:G41)</f>
        <v>0</v>
      </c>
      <c r="H42" s="535">
        <f>SUM(H34:H41)</f>
        <v>0</v>
      </c>
      <c r="I42" s="535">
        <f>SUM(I34:I41)</f>
        <v>0</v>
      </c>
      <c r="J42" s="536">
        <f>SUM(J34:J41)</f>
        <v>0</v>
      </c>
      <c r="K42" s="2"/>
      <c r="L42" s="2"/>
      <c r="M42" s="518"/>
      <c r="N42" s="2"/>
      <c r="O42" s="2"/>
      <c r="P42" s="2"/>
      <c r="Q42" s="2"/>
      <c r="R42" s="2"/>
      <c r="S42" s="2"/>
      <c r="T42" s="2"/>
      <c r="U42" s="2"/>
      <c r="V42" s="2"/>
      <c r="W42"/>
    </row>
    <row r="43" spans="2:23">
      <c r="B43" s="65"/>
      <c r="C43"/>
      <c r="D43"/>
      <c r="E43"/>
      <c r="F43"/>
      <c r="G43"/>
      <c r="H43"/>
      <c r="I43"/>
      <c r="J43" s="7"/>
      <c r="K43"/>
      <c r="L43"/>
      <c r="M43" s="69"/>
      <c r="N43"/>
      <c r="O43"/>
      <c r="P43"/>
      <c r="Q43"/>
      <c r="R43"/>
      <c r="S43"/>
      <c r="T43"/>
      <c r="U43"/>
      <c r="V43"/>
      <c r="W43"/>
    </row>
    <row r="44" spans="2:23" ht="15" thickBot="1">
      <c r="B44" s="68"/>
      <c r="C44" s="67"/>
      <c r="D44" s="67"/>
      <c r="E44" s="67"/>
      <c r="F44" s="67"/>
      <c r="G44" s="67"/>
      <c r="H44" s="67"/>
      <c r="I44" s="67"/>
      <c r="J44" s="35"/>
      <c r="K44"/>
      <c r="L44"/>
      <c r="M44" s="69"/>
      <c r="N44"/>
      <c r="O44"/>
      <c r="P44"/>
      <c r="Q44"/>
      <c r="R44"/>
      <c r="S44"/>
      <c r="T44"/>
      <c r="U44"/>
      <c r="V44"/>
      <c r="W44"/>
    </row>
  </sheetData>
  <sheetProtection sheet="1" objects="1" scenarios="1"/>
  <mergeCells count="10">
    <mergeCell ref="B1:J2"/>
    <mergeCell ref="B4:J4"/>
    <mergeCell ref="B15:J15"/>
    <mergeCell ref="B31:J31"/>
    <mergeCell ref="L6:V6"/>
    <mergeCell ref="Q7:S7"/>
    <mergeCell ref="T7:V7"/>
    <mergeCell ref="N8:N9"/>
    <mergeCell ref="O8:O9"/>
    <mergeCell ref="P8:P9"/>
  </mergeCells>
  <conditionalFormatting sqref="Q14:S15 Q10:S12">
    <cfRule type="dataBar" priority="432">
      <dataBar>
        <cfvo type="min"/>
        <cfvo type="max"/>
        <color rgb="FF63C384"/>
      </dataBar>
    </cfRule>
  </conditionalFormatting>
  <conditionalFormatting sqref="T14:V15 T10:V12">
    <cfRule type="dataBar" priority="435">
      <dataBar>
        <cfvo type="min"/>
        <cfvo type="max"/>
        <color rgb="FF63C384"/>
      </dataBar>
    </cfRule>
  </conditionalFormatting>
  <printOptions horizontalCentered="1"/>
  <pageMargins left="0.7" right="0.7" top="0.75" bottom="0.75" header="0.3" footer="0.3"/>
  <pageSetup scale="60" orientation="portrait" r:id="rId1"/>
  <colBreaks count="1" manualBreakCount="1">
    <brk id="10" max="4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3:M53"/>
  <sheetViews>
    <sheetView zoomScale="90" zoomScaleNormal="90" workbookViewId="0">
      <selection activeCell="M1" sqref="M1:M1048576"/>
    </sheetView>
  </sheetViews>
  <sheetFormatPr defaultRowHeight="14.4"/>
  <cols>
    <col min="1" max="1" width="41.88671875" bestFit="1" customWidth="1"/>
    <col min="2" max="2" width="23.33203125" bestFit="1" customWidth="1"/>
    <col min="3" max="3" width="20" style="4" customWidth="1"/>
    <col min="4" max="4" width="18.6640625" style="4" customWidth="1"/>
    <col min="5" max="5" width="17.33203125" style="4" customWidth="1"/>
    <col min="6" max="6" width="19.109375" style="4" customWidth="1"/>
    <col min="7" max="8" width="19.109375" customWidth="1"/>
    <col min="9" max="10" width="17.33203125" customWidth="1"/>
    <col min="11" max="12" width="17.33203125" hidden="1" customWidth="1"/>
    <col min="13" max="13" width="8.6640625" hidden="1" customWidth="1"/>
  </cols>
  <sheetData>
    <row r="3" spans="1:13" ht="18">
      <c r="A3" s="1010" t="s">
        <v>508</v>
      </c>
      <c r="B3" s="1010"/>
      <c r="C3" s="1010"/>
      <c r="D3" s="1010"/>
      <c r="E3" s="1010"/>
      <c r="F3" s="1010"/>
      <c r="G3" s="1010"/>
      <c r="H3" s="1010"/>
      <c r="I3" s="149"/>
    </row>
    <row r="4" spans="1:13" ht="18">
      <c r="A4" s="549"/>
      <c r="B4" s="151" t="s">
        <v>146</v>
      </c>
      <c r="C4" s="151" t="s">
        <v>146</v>
      </c>
      <c r="D4" s="151" t="s">
        <v>146</v>
      </c>
      <c r="E4" s="151" t="s">
        <v>146</v>
      </c>
      <c r="F4" s="2"/>
      <c r="G4" s="57" t="s">
        <v>561</v>
      </c>
      <c r="H4" s="2"/>
      <c r="I4" s="149"/>
    </row>
    <row r="5" spans="1:13" ht="15.6">
      <c r="A5" s="2"/>
      <c r="B5" s="57" t="s">
        <v>512</v>
      </c>
      <c r="C5" s="57" t="s">
        <v>511</v>
      </c>
      <c r="D5" s="57" t="s">
        <v>466</v>
      </c>
      <c r="E5" s="57" t="s">
        <v>467</v>
      </c>
      <c r="F5" s="57"/>
      <c r="G5" s="542" t="s">
        <v>562</v>
      </c>
      <c r="H5" s="2"/>
    </row>
    <row r="6" spans="1:13" ht="15.6">
      <c r="A6" s="2" t="s">
        <v>463</v>
      </c>
      <c r="B6" s="543">
        <v>0</v>
      </c>
      <c r="C6" s="544">
        <v>0</v>
      </c>
      <c r="D6" s="544">
        <v>0</v>
      </c>
      <c r="E6" s="544">
        <v>0</v>
      </c>
      <c r="F6" s="57"/>
      <c r="G6" s="545">
        <f>(C6-E6+D6)*B6</f>
        <v>0</v>
      </c>
      <c r="H6" s="2"/>
    </row>
    <row r="7" spans="1:13" ht="15.6">
      <c r="A7" s="2" t="s">
        <v>464</v>
      </c>
      <c r="B7" s="543">
        <v>0</v>
      </c>
      <c r="C7" s="544">
        <v>0</v>
      </c>
      <c r="D7" s="544">
        <v>0</v>
      </c>
      <c r="E7" s="544">
        <v>0</v>
      </c>
      <c r="F7" s="57"/>
      <c r="G7" s="545">
        <f>(C7-E7+D7)*B7</f>
        <v>0</v>
      </c>
      <c r="H7" s="2"/>
    </row>
    <row r="8" spans="1:13" ht="15.6">
      <c r="A8" s="546" t="s">
        <v>465</v>
      </c>
      <c r="B8" s="543">
        <v>0</v>
      </c>
      <c r="C8" s="544">
        <v>0</v>
      </c>
      <c r="D8" s="544">
        <v>0</v>
      </c>
      <c r="E8" s="544">
        <v>0</v>
      </c>
      <c r="F8" s="547"/>
      <c r="G8" s="548">
        <f>(C8-E8+D8)*B8</f>
        <v>0</v>
      </c>
      <c r="H8" s="2"/>
    </row>
    <row r="9" spans="1:13" ht="15.6">
      <c r="A9" s="2" t="s">
        <v>462</v>
      </c>
      <c r="B9" s="2"/>
      <c r="C9" s="542"/>
      <c r="D9" s="542"/>
      <c r="E9" s="542"/>
      <c r="F9" s="57"/>
      <c r="G9" s="130">
        <f>SUM(G6:G8)</f>
        <v>0</v>
      </c>
      <c r="H9" s="2"/>
      <c r="I9" s="332" t="s">
        <v>429</v>
      </c>
    </row>
    <row r="10" spans="1:13" ht="15.6">
      <c r="A10" s="2"/>
      <c r="B10" s="2"/>
      <c r="C10" s="57"/>
      <c r="D10" s="57"/>
      <c r="E10" s="57"/>
      <c r="F10" s="57"/>
      <c r="G10" s="2"/>
      <c r="H10" s="2"/>
      <c r="I10" s="332" t="s">
        <v>430</v>
      </c>
    </row>
    <row r="11" spans="1:13" ht="15.6">
      <c r="A11" s="2"/>
      <c r="B11" s="151" t="s">
        <v>146</v>
      </c>
      <c r="C11" s="532" t="s">
        <v>401</v>
      </c>
      <c r="D11" s="532" t="s">
        <v>402</v>
      </c>
      <c r="E11" s="532" t="s">
        <v>403</v>
      </c>
      <c r="F11" s="532" t="s">
        <v>398</v>
      </c>
      <c r="G11" s="532" t="s">
        <v>399</v>
      </c>
      <c r="H11" s="532" t="s">
        <v>400</v>
      </c>
      <c r="I11" s="908" t="s">
        <v>428</v>
      </c>
      <c r="K11" s="4" t="s">
        <v>76</v>
      </c>
      <c r="L11" s="4" t="s">
        <v>130</v>
      </c>
      <c r="M11" s="4" t="s">
        <v>131</v>
      </c>
    </row>
    <row r="12" spans="1:13" ht="15.6">
      <c r="A12" s="150" t="s">
        <v>468</v>
      </c>
      <c r="B12" s="379">
        <v>0</v>
      </c>
      <c r="C12" s="73">
        <f>F12/K12</f>
        <v>0</v>
      </c>
      <c r="D12" s="73">
        <f t="shared" ref="C12:E14" si="0">G12/L12</f>
        <v>0</v>
      </c>
      <c r="E12" s="73">
        <f t="shared" si="0"/>
        <v>0</v>
      </c>
      <c r="F12" s="73">
        <f>B12/(K12+L12+M12)*K12</f>
        <v>0</v>
      </c>
      <c r="G12" s="73">
        <f>B12/(K12+L12+M12)*L12</f>
        <v>0</v>
      </c>
      <c r="H12" s="73">
        <f>B12/(K12+L12+M12)*M12</f>
        <v>0</v>
      </c>
      <c r="I12" s="908"/>
      <c r="K12" s="72">
        <f>'Crop Budget (Main)'!$C$11</f>
        <v>1</v>
      </c>
      <c r="L12" s="72">
        <f>'Crop Budget (Main)'!$G$11</f>
        <v>1</v>
      </c>
      <c r="M12" s="72">
        <f>'Crop Budget (Main)'!$K$11</f>
        <v>1</v>
      </c>
    </row>
    <row r="13" spans="1:13" ht="15.6">
      <c r="A13" s="150" t="s">
        <v>469</v>
      </c>
      <c r="B13" s="379">
        <v>0</v>
      </c>
      <c r="C13" s="73">
        <f t="shared" si="0"/>
        <v>0</v>
      </c>
      <c r="D13" s="73">
        <f t="shared" si="0"/>
        <v>0</v>
      </c>
      <c r="E13" s="73">
        <f t="shared" si="0"/>
        <v>0</v>
      </c>
      <c r="F13" s="73">
        <f>B13/(K13+L13+M13)*K13</f>
        <v>0</v>
      </c>
      <c r="G13" s="73">
        <f>B13/(K13+L13+M13)*L13</f>
        <v>0</v>
      </c>
      <c r="H13" s="73">
        <f>B13/(K13+L13+M13)*M13</f>
        <v>0</v>
      </c>
      <c r="K13" s="72">
        <f>'Crop Budget (Main)'!$C$11</f>
        <v>1</v>
      </c>
      <c r="L13" s="72">
        <f>'Crop Budget (Main)'!$G$11</f>
        <v>1</v>
      </c>
      <c r="M13" s="72">
        <f>'Crop Budget (Main)'!$K$11</f>
        <v>1</v>
      </c>
    </row>
    <row r="14" spans="1:13" ht="15.6">
      <c r="A14" s="150" t="s">
        <v>384</v>
      </c>
      <c r="B14" s="379">
        <v>0</v>
      </c>
      <c r="C14" s="73">
        <f t="shared" si="0"/>
        <v>0</v>
      </c>
      <c r="D14" s="73">
        <f t="shared" si="0"/>
        <v>0</v>
      </c>
      <c r="E14" s="73">
        <f t="shared" si="0"/>
        <v>0</v>
      </c>
      <c r="F14" s="73">
        <f>B14/(K14+L14+M14)*K14</f>
        <v>0</v>
      </c>
      <c r="G14" s="73">
        <f>B14/(K14+L14+M14)*L14</f>
        <v>0</v>
      </c>
      <c r="H14" s="73">
        <f>B14/(K14+L14+M14)*M14</f>
        <v>0</v>
      </c>
      <c r="K14" s="72">
        <f>'Crop Budget (Main)'!$C$11</f>
        <v>1</v>
      </c>
      <c r="L14" s="72">
        <f>'Crop Budget (Main)'!$G$11</f>
        <v>1</v>
      </c>
      <c r="M14" s="72">
        <f>'Crop Budget (Main)'!$K$11</f>
        <v>1</v>
      </c>
    </row>
    <row r="18" spans="1:9" ht="18">
      <c r="A18" s="1010" t="s">
        <v>538</v>
      </c>
      <c r="B18" s="1010"/>
      <c r="C18" s="1010"/>
      <c r="D18" s="1010"/>
      <c r="E18" s="1010"/>
      <c r="F18" s="1010"/>
      <c r="G18" s="1010"/>
      <c r="H18" s="1010"/>
    </row>
    <row r="19" spans="1:9" ht="15.6">
      <c r="A19" s="2"/>
      <c r="B19" s="532" t="s">
        <v>76</v>
      </c>
      <c r="C19" s="532" t="s">
        <v>130</v>
      </c>
      <c r="D19" s="532" t="s">
        <v>131</v>
      </c>
      <c r="E19" s="57"/>
      <c r="F19" s="57"/>
      <c r="G19" s="2"/>
      <c r="H19" s="61" t="s">
        <v>514</v>
      </c>
    </row>
    <row r="20" spans="1:9" ht="15.6">
      <c r="A20" s="22" t="s">
        <v>539</v>
      </c>
      <c r="B20" s="526">
        <f>'Crop Budget (Main)'!E16</f>
        <v>0</v>
      </c>
      <c r="C20" s="526">
        <f>'Crop Budget (Main)'!I16</f>
        <v>0</v>
      </c>
      <c r="D20" s="526">
        <f>'Crop Budget (Main)'!M16</f>
        <v>0</v>
      </c>
      <c r="E20" s="57"/>
      <c r="F20" s="57"/>
      <c r="G20" s="2"/>
      <c r="H20" s="222">
        <f>SUM(B20:G20)</f>
        <v>0</v>
      </c>
    </row>
    <row r="21" spans="1:9" ht="15.6">
      <c r="A21" s="2"/>
      <c r="B21" s="2"/>
      <c r="C21" s="151" t="s">
        <v>146</v>
      </c>
      <c r="D21" s="57"/>
      <c r="E21" s="151" t="s">
        <v>146</v>
      </c>
      <c r="F21" s="57"/>
      <c r="G21" s="151" t="s">
        <v>146</v>
      </c>
      <c r="H21" s="2"/>
    </row>
    <row r="22" spans="1:9" ht="15.6">
      <c r="A22" s="2" t="s">
        <v>537</v>
      </c>
      <c r="B22" s="57" t="s">
        <v>552</v>
      </c>
      <c r="C22" s="550">
        <v>0</v>
      </c>
      <c r="D22" s="57" t="s">
        <v>541</v>
      </c>
      <c r="E22" s="381">
        <v>0</v>
      </c>
      <c r="F22" s="57" t="s">
        <v>542</v>
      </c>
      <c r="G22" s="551">
        <v>0</v>
      </c>
      <c r="H22" s="552">
        <f>(C22*0.1)+(E22*G22)</f>
        <v>0</v>
      </c>
    </row>
    <row r="23" spans="1:9" ht="15.6">
      <c r="A23" s="2" t="s">
        <v>540</v>
      </c>
      <c r="B23" s="2"/>
      <c r="C23" s="57"/>
      <c r="D23" s="57"/>
      <c r="E23" s="57"/>
      <c r="F23" s="57"/>
      <c r="G23" s="2"/>
      <c r="H23" s="2"/>
      <c r="I23" s="332" t="s">
        <v>429</v>
      </c>
    </row>
    <row r="24" spans="1:9" ht="15.6">
      <c r="A24" s="2"/>
      <c r="B24" s="2"/>
      <c r="C24" s="57"/>
      <c r="D24" s="57"/>
      <c r="E24" s="57"/>
      <c r="F24" s="57"/>
      <c r="G24" s="2"/>
      <c r="H24" s="2"/>
      <c r="I24" s="332" t="s">
        <v>430</v>
      </c>
    </row>
    <row r="25" spans="1:9" ht="15.6">
      <c r="A25" s="2"/>
      <c r="B25" s="2"/>
      <c r="C25" s="532" t="s">
        <v>401</v>
      </c>
      <c r="D25" s="532" t="s">
        <v>402</v>
      </c>
      <c r="E25" s="532" t="s">
        <v>403</v>
      </c>
      <c r="F25" s="532" t="s">
        <v>398</v>
      </c>
      <c r="G25" s="532" t="s">
        <v>399</v>
      </c>
      <c r="H25" s="532" t="s">
        <v>400</v>
      </c>
      <c r="I25" s="908" t="s">
        <v>428</v>
      </c>
    </row>
    <row r="26" spans="1:9" ht="15.6">
      <c r="A26" s="2" t="s">
        <v>543</v>
      </c>
      <c r="B26" s="2"/>
      <c r="C26" s="526">
        <f>F26/K12</f>
        <v>0</v>
      </c>
      <c r="D26" s="526">
        <f t="shared" ref="D26:E26" si="1">G26/L12</f>
        <v>0</v>
      </c>
      <c r="E26" s="526">
        <f t="shared" si="1"/>
        <v>0</v>
      </c>
      <c r="F26" s="526">
        <f>$H$22/($K$12+$L$12+$M$12)*K12</f>
        <v>0</v>
      </c>
      <c r="G26" s="526">
        <f>($H$22/($K$12+$L$12+$M$12))*L12</f>
        <v>0</v>
      </c>
      <c r="H26" s="526">
        <f>($H$22/($K$12+$L$12+$M$12))*M12</f>
        <v>0</v>
      </c>
      <c r="I26" s="908"/>
    </row>
    <row r="27" spans="1:9" ht="15.6">
      <c r="A27" s="2"/>
      <c r="B27" s="2"/>
      <c r="C27" s="57"/>
      <c r="D27" s="57"/>
      <c r="E27" s="57"/>
      <c r="F27" s="57"/>
      <c r="G27" s="2"/>
      <c r="H27" s="2"/>
    </row>
    <row r="28" spans="1:9">
      <c r="C28"/>
      <c r="D28"/>
      <c r="E28"/>
      <c r="F28"/>
    </row>
    <row r="29" spans="1:9" ht="18">
      <c r="A29" s="1010" t="s">
        <v>548</v>
      </c>
      <c r="B29" s="1010"/>
      <c r="C29" s="1010"/>
      <c r="D29" s="1010"/>
      <c r="E29" s="1010"/>
      <c r="F29" s="1010"/>
      <c r="G29" s="1010"/>
      <c r="H29" s="1010"/>
    </row>
    <row r="30" spans="1:9" ht="15.6">
      <c r="A30" s="549"/>
      <c r="B30" s="151" t="s">
        <v>146</v>
      </c>
      <c r="C30" s="549"/>
      <c r="D30" s="151" t="s">
        <v>146</v>
      </c>
      <c r="E30" s="549"/>
      <c r="F30" s="549"/>
      <c r="G30" s="549"/>
      <c r="H30" s="549"/>
    </row>
    <row r="31" spans="1:9" ht="15.6">
      <c r="A31" s="2"/>
      <c r="B31" s="22" t="s">
        <v>549</v>
      </c>
      <c r="C31" s="57"/>
      <c r="D31" s="22" t="s">
        <v>550</v>
      </c>
      <c r="E31" s="57"/>
      <c r="F31" s="57"/>
      <c r="G31" s="61" t="s">
        <v>514</v>
      </c>
      <c r="H31" s="2"/>
    </row>
    <row r="32" spans="1:9" ht="15.6">
      <c r="A32" s="2" t="s">
        <v>544</v>
      </c>
      <c r="B32" s="553">
        <v>0</v>
      </c>
      <c r="C32" s="526"/>
      <c r="D32" s="543">
        <v>0</v>
      </c>
      <c r="E32" s="526"/>
      <c r="F32" s="526"/>
      <c r="G32" s="526">
        <f>B32*D32</f>
        <v>0</v>
      </c>
      <c r="H32" s="526"/>
    </row>
    <row r="33" spans="1:12" ht="15.6">
      <c r="A33" s="2"/>
      <c r="B33" s="2"/>
      <c r="C33" s="57"/>
      <c r="D33" s="57"/>
      <c r="E33" s="57"/>
      <c r="F33" s="57"/>
      <c r="G33" s="2"/>
      <c r="H33" s="2"/>
    </row>
    <row r="34" spans="1:12" ht="15.6">
      <c r="A34" s="2"/>
      <c r="B34" s="2"/>
      <c r="C34" s="532" t="s">
        <v>401</v>
      </c>
      <c r="D34" s="532" t="s">
        <v>402</v>
      </c>
      <c r="E34" s="532" t="s">
        <v>403</v>
      </c>
      <c r="F34" s="532" t="s">
        <v>398</v>
      </c>
      <c r="G34" s="532" t="s">
        <v>399</v>
      </c>
      <c r="H34" s="532" t="s">
        <v>400</v>
      </c>
    </row>
    <row r="35" spans="1:12" ht="15.6">
      <c r="A35" s="2"/>
      <c r="B35" s="2"/>
      <c r="C35" s="526">
        <f>F35/K12</f>
        <v>0</v>
      </c>
      <c r="D35" s="526">
        <f t="shared" ref="D35:E35" si="2">G35/L12</f>
        <v>0</v>
      </c>
      <c r="E35" s="526">
        <f t="shared" si="2"/>
        <v>0</v>
      </c>
      <c r="F35" s="526">
        <f>($G$32/($K$12+$L$12+$M$12))*K12</f>
        <v>0</v>
      </c>
      <c r="G35" s="526">
        <f>($G$32/($K$12+$L$12+$M$12))*L12</f>
        <v>0</v>
      </c>
      <c r="H35" s="526">
        <f>($G$32/($K$12+$L$12+$M$12))*M12</f>
        <v>0</v>
      </c>
    </row>
    <row r="37" spans="1:12" ht="18">
      <c r="A37" s="1010" t="s">
        <v>584</v>
      </c>
      <c r="B37" s="1010"/>
      <c r="C37" s="1010"/>
      <c r="D37" s="1010"/>
      <c r="E37" s="1010"/>
      <c r="F37" s="1010"/>
      <c r="G37" s="1010"/>
      <c r="H37" s="1010"/>
      <c r="I37" s="332" t="s">
        <v>429</v>
      </c>
    </row>
    <row r="38" spans="1:12" ht="15.6">
      <c r="B38" s="4"/>
      <c r="I38" s="332" t="s">
        <v>430</v>
      </c>
    </row>
    <row r="39" spans="1:12" ht="15.6">
      <c r="B39" s="532" t="s">
        <v>563</v>
      </c>
      <c r="C39" s="61" t="s">
        <v>566</v>
      </c>
      <c r="D39" s="532" t="s">
        <v>564</v>
      </c>
      <c r="E39" s="61" t="s">
        <v>567</v>
      </c>
      <c r="F39" s="532" t="s">
        <v>565</v>
      </c>
      <c r="G39" s="61" t="s">
        <v>568</v>
      </c>
      <c r="I39" s="908" t="s">
        <v>428</v>
      </c>
    </row>
    <row r="40" spans="1:12" ht="15.6">
      <c r="A40" s="356" t="s">
        <v>583</v>
      </c>
      <c r="B40" s="554">
        <f>'Crop Budget (Main)'!$C$70</f>
        <v>0</v>
      </c>
      <c r="C40" s="554">
        <f>B40*'Crop Budget (Main)'!$C$11</f>
        <v>0</v>
      </c>
      <c r="D40" s="554">
        <f>'Crop Budget (Main)'!$G$70</f>
        <v>0</v>
      </c>
      <c r="E40" s="554">
        <f>D40*'Crop Budget (Main)'!$G$11</f>
        <v>0</v>
      </c>
      <c r="F40" s="554">
        <f>'Crop Budget (Main)'!$K$70</f>
        <v>0</v>
      </c>
      <c r="G40" s="554">
        <f>F40*'Crop Budget (Main)'!$K$11</f>
        <v>0</v>
      </c>
      <c r="I40" s="908"/>
    </row>
    <row r="41" spans="1:12" ht="15.6">
      <c r="A41" s="180" t="s">
        <v>537</v>
      </c>
      <c r="B41" s="353">
        <f>C26</f>
        <v>0</v>
      </c>
      <c r="C41" s="353">
        <f>B41*'Crop Budget (Main)'!C11</f>
        <v>0</v>
      </c>
      <c r="D41" s="353">
        <f>D26</f>
        <v>0</v>
      </c>
      <c r="E41" s="353">
        <f>D41*'Crop Budget (Main)'!G11</f>
        <v>0</v>
      </c>
      <c r="F41" s="353">
        <f>E26</f>
        <v>0</v>
      </c>
      <c r="G41" s="353">
        <f>F41*'Crop Budget (Main)'!K11</f>
        <v>0</v>
      </c>
      <c r="K41" s="228" t="e">
        <f>#REF!</f>
        <v>#REF!</v>
      </c>
      <c r="L41" s="246" t="e">
        <f>#REF!*$K$16</f>
        <v>#REF!</v>
      </c>
    </row>
    <row r="42" spans="1:12" ht="15.6">
      <c r="A42" s="180" t="s">
        <v>544</v>
      </c>
      <c r="B42" s="354">
        <f>C35</f>
        <v>0</v>
      </c>
      <c r="C42" s="354">
        <f>B42*'Crop Budget (Main)'!C11</f>
        <v>0</v>
      </c>
      <c r="D42" s="354">
        <f>D35</f>
        <v>0</v>
      </c>
      <c r="E42" s="354">
        <f>D42*'Crop Budget (Main)'!G11</f>
        <v>0</v>
      </c>
      <c r="F42" s="354">
        <f>E35</f>
        <v>0</v>
      </c>
      <c r="G42" s="354">
        <f>F42*'Crop Budget (Main)'!K11</f>
        <v>0</v>
      </c>
      <c r="K42" s="228" t="e">
        <f>#REF!</f>
        <v>#REF!</v>
      </c>
      <c r="L42" s="246" t="e">
        <f>#REF!*$K$16</f>
        <v>#REF!</v>
      </c>
    </row>
    <row r="43" spans="1:12" ht="15.6">
      <c r="A43" s="339" t="s">
        <v>546</v>
      </c>
      <c r="B43" s="355">
        <f t="shared" ref="B43:G43" si="3">B41+B42</f>
        <v>0</v>
      </c>
      <c r="C43" s="355">
        <f t="shared" si="3"/>
        <v>0</v>
      </c>
      <c r="D43" s="355">
        <f t="shared" si="3"/>
        <v>0</v>
      </c>
      <c r="E43" s="355">
        <f t="shared" si="3"/>
        <v>0</v>
      </c>
      <c r="F43" s="355">
        <f t="shared" si="3"/>
        <v>0</v>
      </c>
      <c r="G43" s="355">
        <f t="shared" si="3"/>
        <v>0</v>
      </c>
      <c r="K43" s="305"/>
      <c r="L43" s="306" t="e">
        <f>SUM(L41:L42)</f>
        <v>#REF!</v>
      </c>
    </row>
    <row r="44" spans="1:12" ht="16.2" thickBot="1">
      <c r="A44" s="357" t="s">
        <v>585</v>
      </c>
      <c r="B44" s="358">
        <f t="shared" ref="B44:G44" si="4">B40-B43</f>
        <v>0</v>
      </c>
      <c r="C44" s="358">
        <f t="shared" si="4"/>
        <v>0</v>
      </c>
      <c r="D44" s="358">
        <f t="shared" si="4"/>
        <v>0</v>
      </c>
      <c r="E44" s="358">
        <f t="shared" si="4"/>
        <v>0</v>
      </c>
      <c r="F44" s="358">
        <f t="shared" si="4"/>
        <v>0</v>
      </c>
      <c r="G44" s="358">
        <f t="shared" si="4"/>
        <v>0</v>
      </c>
      <c r="K44" s="230"/>
      <c r="L44" s="247" t="e">
        <f>#REF!*#REF!</f>
        <v>#REF!</v>
      </c>
    </row>
    <row r="45" spans="1:12" ht="16.8" thickTop="1" thickBot="1">
      <c r="A45" s="2"/>
      <c r="B45" s="352"/>
      <c r="C45" s="57"/>
      <c r="D45" s="57"/>
      <c r="E45" s="57"/>
      <c r="F45" s="57"/>
      <c r="G45" s="2"/>
      <c r="K45" s="349"/>
      <c r="L45" s="351" t="e">
        <f>#REF!*#REF!</f>
        <v>#REF!</v>
      </c>
    </row>
    <row r="46" spans="1:12" ht="15.6">
      <c r="A46" s="2"/>
      <c r="B46" s="2"/>
      <c r="C46" s="57"/>
      <c r="D46" s="57"/>
      <c r="E46" s="57"/>
      <c r="F46" s="57"/>
      <c r="G46" s="2"/>
    </row>
    <row r="47" spans="1:12" ht="15.6">
      <c r="A47" s="299" t="s">
        <v>505</v>
      </c>
      <c r="B47" s="1011" t="s">
        <v>563</v>
      </c>
      <c r="C47" s="1012"/>
      <c r="D47" s="1012" t="s">
        <v>564</v>
      </c>
      <c r="E47" s="1012"/>
      <c r="F47" s="1012" t="s">
        <v>565</v>
      </c>
      <c r="G47" s="1012"/>
    </row>
    <row r="48" spans="1:12" ht="15.6">
      <c r="A48" s="300" t="s">
        <v>506</v>
      </c>
      <c r="B48" s="363" t="e">
        <f>('Crop Budget (Main)'!$C$69-'Capital &amp; Opportunity'!$C$12)/'Crop Budget (Main)'!$C$10</f>
        <v>#DIV/0!</v>
      </c>
      <c r="C48" s="359" t="s">
        <v>586</v>
      </c>
      <c r="D48" s="363" t="e">
        <f>('Crop Budget (Main)'!$G$69-'Capital &amp; Opportunity'!$D$12)/'Crop Budget (Main)'!$G$10</f>
        <v>#DIV/0!</v>
      </c>
      <c r="E48" s="359" t="s">
        <v>586</v>
      </c>
      <c r="F48" s="363" t="e">
        <f>('Crop Budget (Main)'!$K$69-'Capital &amp; Opportunity'!$E$12)/'Crop Budget (Main)'!$K$10</f>
        <v>#DIV/0!</v>
      </c>
      <c r="G48" s="359" t="s">
        <v>586</v>
      </c>
    </row>
    <row r="49" spans="1:7" ht="15.6">
      <c r="A49" s="300" t="s">
        <v>507</v>
      </c>
      <c r="B49" s="579" t="e">
        <f>('Crop Budget (Main)'!$C$69-'Capital &amp; Opportunity'!$C$12)/'Crop Budget (Main)'!$C$9</f>
        <v>#DIV/0!</v>
      </c>
      <c r="C49" s="360" t="s">
        <v>124</v>
      </c>
      <c r="D49" s="579" t="e">
        <f>('Crop Budget (Main)'!$G$69-'Capital &amp; Opportunity'!$D$12)/'Crop Budget (Main)'!$G$9</f>
        <v>#DIV/0!</v>
      </c>
      <c r="E49" s="360" t="s">
        <v>124</v>
      </c>
      <c r="F49" s="579" t="e">
        <f>('Crop Budget (Main)'!$K$69-'Capital &amp; Opportunity'!$E$12)/'Crop Budget (Main)'!$K$9</f>
        <v>#DIV/0!</v>
      </c>
      <c r="G49" s="360" t="s">
        <v>124</v>
      </c>
    </row>
    <row r="50" spans="1:7" ht="15.6">
      <c r="A50" s="2"/>
      <c r="B50" s="2"/>
      <c r="C50" s="57"/>
      <c r="D50" s="57"/>
      <c r="E50" s="57"/>
      <c r="F50" s="57"/>
      <c r="G50" s="2"/>
    </row>
    <row r="51" spans="1:7" ht="15.6">
      <c r="A51" s="299" t="s">
        <v>551</v>
      </c>
      <c r="B51" s="2"/>
      <c r="C51" s="57"/>
      <c r="D51" s="57"/>
      <c r="E51" s="57"/>
      <c r="F51" s="57"/>
      <c r="G51" s="2"/>
    </row>
    <row r="52" spans="1:7" ht="15.6">
      <c r="A52" s="300" t="s">
        <v>506</v>
      </c>
      <c r="B52" s="363" t="e">
        <f>('Crop Budget (Main)'!$C$69-'Capital &amp; Opportunity'!$C$12+B43)/'Crop Budget (Main)'!$C$10</f>
        <v>#DIV/0!</v>
      </c>
      <c r="C52" s="359" t="s">
        <v>586</v>
      </c>
      <c r="D52" s="363" t="e">
        <f>('Crop Budget (Main)'!$G$69-'Capital &amp; Opportunity'!$D$12+D43)/'Crop Budget (Main)'!$G$10</f>
        <v>#DIV/0!</v>
      </c>
      <c r="E52" s="359" t="s">
        <v>586</v>
      </c>
      <c r="F52" s="363" t="e">
        <f>('Crop Budget (Main)'!$K$69-'Capital &amp; Opportunity'!$E$12+F43)/'Crop Budget (Main)'!$K$10</f>
        <v>#DIV/0!</v>
      </c>
      <c r="G52" s="359" t="s">
        <v>586</v>
      </c>
    </row>
    <row r="53" spans="1:7" ht="15.6">
      <c r="A53" s="300" t="s">
        <v>507</v>
      </c>
      <c r="B53" s="579" t="e">
        <f>('Crop Budget (Main)'!$C$69-'Capital &amp; Opportunity'!$C$12+B43)/'Crop Budget (Main)'!$C$9</f>
        <v>#DIV/0!</v>
      </c>
      <c r="C53" s="360" t="s">
        <v>124</v>
      </c>
      <c r="D53" s="579" t="e">
        <f>('Crop Budget (Main)'!$G$69-'Capital &amp; Opportunity'!$D$12+D43)/'Crop Budget (Main)'!$G$9</f>
        <v>#DIV/0!</v>
      </c>
      <c r="E53" s="360" t="s">
        <v>124</v>
      </c>
      <c r="F53" s="579" t="e">
        <f>('Crop Budget (Main)'!$K$69-'Capital &amp; Opportunity'!$E$12+F43)/'Crop Budget (Main)'!$K$9</f>
        <v>#DIV/0!</v>
      </c>
      <c r="G53" s="360" t="s">
        <v>124</v>
      </c>
    </row>
  </sheetData>
  <sheetProtection sheet="1" objects="1" scenarios="1"/>
  <mergeCells count="10">
    <mergeCell ref="A3:H3"/>
    <mergeCell ref="I25:I26"/>
    <mergeCell ref="I11:I12"/>
    <mergeCell ref="A29:H29"/>
    <mergeCell ref="A18:H18"/>
    <mergeCell ref="A37:H37"/>
    <mergeCell ref="B47:C47"/>
    <mergeCell ref="D47:E47"/>
    <mergeCell ref="F47:G47"/>
    <mergeCell ref="I39:I40"/>
  </mergeCells>
  <conditionalFormatting sqref="C12:E13">
    <cfRule type="dataBar" priority="515">
      <dataBar>
        <cfvo type="min"/>
        <cfvo type="max"/>
        <color rgb="FF63C384"/>
      </dataBar>
    </cfRule>
  </conditionalFormatting>
  <conditionalFormatting sqref="C14:E14">
    <cfRule type="dataBar" priority="10">
      <dataBar>
        <cfvo type="min"/>
        <cfvo type="max"/>
        <color rgb="FF63C384"/>
      </dataBar>
    </cfRule>
  </conditionalFormatting>
  <conditionalFormatting sqref="F12:H13">
    <cfRule type="dataBar" priority="513">
      <dataBar>
        <cfvo type="min"/>
        <cfvo type="max"/>
        <color rgb="FF63C384"/>
      </dataBar>
    </cfRule>
  </conditionalFormatting>
  <conditionalFormatting sqref="F14:H14">
    <cfRule type="dataBar" priority="9">
      <dataBar>
        <cfvo type="min"/>
        <cfvo type="max"/>
        <color rgb="FF63C384"/>
      </dataBar>
    </cfRule>
  </conditionalFormatting>
  <conditionalFormatting sqref="K41:K42">
    <cfRule type="dataBar" priority="3">
      <dataBar showValue="0">
        <cfvo type="min"/>
        <cfvo type="max"/>
        <color rgb="FF63C384"/>
      </dataBar>
      <extLst>
        <ext xmlns:x14="http://schemas.microsoft.com/office/spreadsheetml/2009/9/main" uri="{B025F937-C7B1-47D3-B67F-A62EFF666E3E}">
          <x14:id>{2AA36DEF-4ABA-4792-BEEB-B3B00529D24C}</x14:id>
        </ext>
      </extLst>
    </cfRule>
  </conditionalFormatting>
  <pageMargins left="0.7" right="0.7" top="0.75" bottom="0.75" header="0.3" footer="0.3"/>
  <pageSetup scale="59" orientation="landscape" r:id="rId1"/>
  <extLst>
    <ext xmlns:x14="http://schemas.microsoft.com/office/spreadsheetml/2009/9/main" uri="{78C0D931-6437-407d-A8EE-F0AAD7539E65}">
      <x14:conditionalFormattings>
        <x14:conditionalFormatting xmlns:xm="http://schemas.microsoft.com/office/excel/2006/main">
          <x14:cfRule type="dataBar" id="{2AA36DEF-4ABA-4792-BEEB-B3B00529D24C}">
            <x14:dataBar minLength="0" maxLength="100" border="1" negativeBarBorderColorSameAsPositive="0">
              <x14:cfvo type="autoMin"/>
              <x14:cfvo type="autoMax"/>
              <x14:borderColor rgb="FF63C384"/>
              <x14:negativeFillColor rgb="FFFF0000"/>
              <x14:negativeBorderColor rgb="FFFF0000"/>
              <x14:axisColor rgb="FF000000"/>
            </x14:dataBar>
          </x14:cfRule>
          <xm:sqref>K41:K42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C0D98-0FD5-4A88-9C62-E7BDBB147E76}">
  <sheetPr codeName="Sheet121"/>
  <dimension ref="A1:R60"/>
  <sheetViews>
    <sheetView zoomScaleNormal="100" workbookViewId="0">
      <selection activeCell="H21" sqref="H21"/>
    </sheetView>
  </sheetViews>
  <sheetFormatPr defaultRowHeight="14.4"/>
  <cols>
    <col min="1" max="1" width="40.33203125" bestFit="1" customWidth="1"/>
    <col min="2" max="2" width="14.88671875" bestFit="1" customWidth="1"/>
    <col min="3" max="3" width="18.33203125" bestFit="1" customWidth="1"/>
    <col min="4" max="4" width="16.44140625" bestFit="1" customWidth="1"/>
    <col min="5" max="5" width="16.109375" bestFit="1" customWidth="1"/>
    <col min="6" max="6" width="16.44140625" bestFit="1" customWidth="1"/>
    <col min="9" max="11" width="9.109375" hidden="1" customWidth="1"/>
    <col min="12" max="12" width="9.109375" customWidth="1"/>
    <col min="14" max="14" width="28.109375" bestFit="1" customWidth="1"/>
    <col min="15" max="15" width="15.33203125" bestFit="1" customWidth="1"/>
    <col min="16" max="16" width="14.6640625" bestFit="1" customWidth="1"/>
    <col min="17" max="17" width="13.109375" bestFit="1" customWidth="1"/>
  </cols>
  <sheetData>
    <row r="1" spans="1:18" ht="18">
      <c r="A1" s="1010" t="s">
        <v>556</v>
      </c>
      <c r="B1" s="1010"/>
      <c r="C1" s="1010"/>
      <c r="D1" s="1010"/>
      <c r="E1" s="1010"/>
      <c r="F1" s="1010"/>
      <c r="I1" s="4" t="s">
        <v>76</v>
      </c>
      <c r="J1" s="4" t="s">
        <v>130</v>
      </c>
      <c r="K1" s="4" t="s">
        <v>131</v>
      </c>
      <c r="M1" s="1010" t="s">
        <v>1011</v>
      </c>
      <c r="N1" s="1010"/>
      <c r="O1" s="1010"/>
      <c r="P1" s="1010"/>
      <c r="Q1" s="1010"/>
      <c r="R1" s="1010"/>
    </row>
    <row r="2" spans="1:18">
      <c r="B2" s="151" t="s">
        <v>146</v>
      </c>
      <c r="C2" s="151" t="s">
        <v>146</v>
      </c>
      <c r="D2" s="151" t="s">
        <v>146</v>
      </c>
      <c r="I2" s="72">
        <f>'Crop Budget (Main)'!$C$11</f>
        <v>1</v>
      </c>
      <c r="J2" s="72">
        <f>'Crop Budget (Main)'!$G$11</f>
        <v>1</v>
      </c>
      <c r="K2" s="72">
        <f>'Crop Budget (Main)'!$K$11</f>
        <v>1</v>
      </c>
      <c r="P2" s="151" t="s">
        <v>146</v>
      </c>
      <c r="Q2" s="4"/>
    </row>
    <row r="3" spans="1:18">
      <c r="B3" s="326" t="s">
        <v>76</v>
      </c>
      <c r="C3" s="326" t="s">
        <v>130</v>
      </c>
      <c r="D3" s="326" t="s">
        <v>131</v>
      </c>
      <c r="E3" s="4"/>
      <c r="F3" s="326" t="s">
        <v>514</v>
      </c>
      <c r="N3" t="s">
        <v>1011</v>
      </c>
      <c r="O3" t="s">
        <v>557</v>
      </c>
      <c r="P3" s="391">
        <v>0</v>
      </c>
    </row>
    <row r="4" spans="1:18">
      <c r="A4" s="327" t="s">
        <v>596</v>
      </c>
      <c r="B4" s="391">
        <v>0</v>
      </c>
      <c r="C4" s="391">
        <v>0</v>
      </c>
      <c r="D4" s="391">
        <v>0</v>
      </c>
      <c r="E4" s="4"/>
      <c r="F4" s="328">
        <f>SUM(B4:E4)</f>
        <v>0</v>
      </c>
    </row>
    <row r="5" spans="1:18">
      <c r="C5" s="151"/>
      <c r="D5" s="4"/>
      <c r="E5" s="151"/>
      <c r="O5" s="70" t="s">
        <v>566</v>
      </c>
      <c r="P5" s="70" t="s">
        <v>567</v>
      </c>
      <c r="Q5" s="70" t="s">
        <v>568</v>
      </c>
    </row>
    <row r="6" spans="1:18">
      <c r="B6" s="70" t="s">
        <v>563</v>
      </c>
      <c r="C6" s="70" t="s">
        <v>564</v>
      </c>
      <c r="D6" s="70" t="s">
        <v>565</v>
      </c>
      <c r="E6" s="151"/>
      <c r="O6" s="329">
        <f>$P$3/($I$2+$J$2+$K$2)*I2</f>
        <v>0</v>
      </c>
      <c r="P6" s="329">
        <f>$P$3/($I$2+$J$2+$K$2)*J2</f>
        <v>0</v>
      </c>
      <c r="Q6" s="329">
        <f>$P$3/($I$2+$J$2+$K$2)*K2</f>
        <v>0</v>
      </c>
    </row>
    <row r="7" spans="1:18">
      <c r="A7" t="s">
        <v>555</v>
      </c>
      <c r="B7" s="329">
        <f>B4/I2</f>
        <v>0</v>
      </c>
      <c r="C7" s="329">
        <f>C4/J2</f>
        <v>0</v>
      </c>
      <c r="D7" s="329">
        <f>D4/K2</f>
        <v>0</v>
      </c>
      <c r="E7" s="330"/>
      <c r="F7" s="66"/>
    </row>
    <row r="8" spans="1:18">
      <c r="C8" s="4"/>
      <c r="D8" s="4"/>
      <c r="E8" s="4"/>
      <c r="O8" s="70" t="s">
        <v>563</v>
      </c>
      <c r="P8" s="70" t="s">
        <v>564</v>
      </c>
      <c r="Q8" s="70" t="s">
        <v>565</v>
      </c>
    </row>
    <row r="9" spans="1:18">
      <c r="C9" s="151" t="s">
        <v>146</v>
      </c>
      <c r="D9" s="4"/>
      <c r="E9" s="4"/>
      <c r="O9" s="329">
        <f>O6/I2</f>
        <v>0</v>
      </c>
      <c r="P9" s="329">
        <f>P6/J2</f>
        <v>0</v>
      </c>
      <c r="Q9" s="329">
        <f>Q6/K2</f>
        <v>0</v>
      </c>
    </row>
    <row r="10" spans="1:18">
      <c r="A10" t="s">
        <v>597</v>
      </c>
      <c r="B10" t="s">
        <v>557</v>
      </c>
      <c r="C10" s="391">
        <v>0</v>
      </c>
      <c r="E10" s="326"/>
    </row>
    <row r="11" spans="1:18">
      <c r="E11" s="329"/>
    </row>
    <row r="12" spans="1:18">
      <c r="B12" s="70" t="s">
        <v>566</v>
      </c>
      <c r="C12" s="70" t="s">
        <v>567</v>
      </c>
      <c r="D12" s="70" t="s">
        <v>568</v>
      </c>
      <c r="F12" s="326" t="s">
        <v>514</v>
      </c>
    </row>
    <row r="13" spans="1:18">
      <c r="B13" s="329">
        <f>$C$10/($I$2+$J$2+$K$2)*I2</f>
        <v>0</v>
      </c>
      <c r="C13" s="329">
        <f>$C$10/($I$2+$J$2+$K$2)*J2</f>
        <v>0</v>
      </c>
      <c r="D13" s="329">
        <f>$C$10/($I$2+$J$2+$K$2)*K2</f>
        <v>0</v>
      </c>
      <c r="F13" s="328">
        <f>SUM(B13:E13)</f>
        <v>0</v>
      </c>
    </row>
    <row r="14" spans="1:18" ht="18">
      <c r="M14" s="1010" t="s">
        <v>1006</v>
      </c>
      <c r="N14" s="1010"/>
      <c r="O14" s="1010"/>
      <c r="P14" s="1010"/>
      <c r="Q14" s="1010"/>
      <c r="R14" s="1010"/>
    </row>
    <row r="15" spans="1:18">
      <c r="B15" s="70" t="s">
        <v>563</v>
      </c>
      <c r="C15" s="70" t="s">
        <v>564</v>
      </c>
      <c r="D15" s="70" t="s">
        <v>565</v>
      </c>
    </row>
    <row r="16" spans="1:18">
      <c r="B16" s="329">
        <f>B13/I2</f>
        <v>0</v>
      </c>
      <c r="C16" s="329">
        <f>C13/J2</f>
        <v>0</v>
      </c>
      <c r="D16" s="329">
        <f>D13/K2</f>
        <v>0</v>
      </c>
    </row>
    <row r="17" spans="1:17">
      <c r="N17" s="1013" t="s">
        <v>1012</v>
      </c>
      <c r="O17" s="70" t="s">
        <v>566</v>
      </c>
      <c r="P17" s="70" t="s">
        <v>567</v>
      </c>
      <c r="Q17" s="70" t="s">
        <v>568</v>
      </c>
    </row>
    <row r="18" spans="1:17">
      <c r="A18" t="s">
        <v>558</v>
      </c>
      <c r="C18" s="151" t="s">
        <v>146</v>
      </c>
      <c r="D18" s="4"/>
      <c r="N18" s="1013"/>
      <c r="O18" s="329">
        <f>B31+B57+O6</f>
        <v>0</v>
      </c>
      <c r="P18" s="329">
        <f>C31+C57+P6</f>
        <v>0</v>
      </c>
      <c r="Q18" s="329">
        <f>D31+D57+Q6</f>
        <v>0</v>
      </c>
    </row>
    <row r="19" spans="1:17">
      <c r="A19" t="s">
        <v>559</v>
      </c>
      <c r="B19" t="s">
        <v>557</v>
      </c>
      <c r="C19" s="391">
        <v>0</v>
      </c>
    </row>
    <row r="20" spans="1:17">
      <c r="O20" s="70" t="s">
        <v>563</v>
      </c>
      <c r="P20" s="70" t="s">
        <v>564</v>
      </c>
      <c r="Q20" s="70" t="s">
        <v>565</v>
      </c>
    </row>
    <row r="21" spans="1:17">
      <c r="B21" s="70" t="s">
        <v>566</v>
      </c>
      <c r="C21" s="70" t="s">
        <v>567</v>
      </c>
      <c r="D21" s="70" t="s">
        <v>568</v>
      </c>
      <c r="F21" s="326" t="s">
        <v>514</v>
      </c>
      <c r="O21" s="329">
        <f>O18/I2</f>
        <v>0</v>
      </c>
      <c r="P21" s="329">
        <f>P18/J2</f>
        <v>0</v>
      </c>
      <c r="Q21" s="329">
        <f>Q18/K2</f>
        <v>0</v>
      </c>
    </row>
    <row r="22" spans="1:17">
      <c r="B22" s="329">
        <f>$C$19/($I$2+$J$2+$K$2)*I2</f>
        <v>0</v>
      </c>
      <c r="C22" s="329">
        <f>$C$19/($I$2+$J$2+$K$2)*J2</f>
        <v>0</v>
      </c>
      <c r="D22" s="329">
        <f>$C$19/($I$2+$J$2+$K$2)*K2</f>
        <v>0</v>
      </c>
      <c r="F22" s="328">
        <f>SUM(B22:E22)</f>
        <v>0</v>
      </c>
    </row>
    <row r="24" spans="1:17">
      <c r="B24" s="70" t="s">
        <v>563</v>
      </c>
      <c r="C24" s="70" t="s">
        <v>564</v>
      </c>
      <c r="D24" s="70" t="s">
        <v>565</v>
      </c>
    </row>
    <row r="25" spans="1:17" ht="15.6">
      <c r="B25" s="329">
        <f>B22/I2</f>
        <v>0</v>
      </c>
      <c r="C25" s="329">
        <f>C22/J2</f>
        <v>0</v>
      </c>
      <c r="D25" s="329">
        <f>D22/K2</f>
        <v>0</v>
      </c>
      <c r="F25" s="332" t="s">
        <v>429</v>
      </c>
    </row>
    <row r="26" spans="1:17" ht="15.6">
      <c r="F26" s="332" t="s">
        <v>430</v>
      </c>
    </row>
    <row r="27" spans="1:17">
      <c r="F27" s="908" t="s">
        <v>428</v>
      </c>
    </row>
    <row r="28" spans="1:17">
      <c r="F28" s="908"/>
    </row>
    <row r="30" spans="1:17">
      <c r="A30" t="s">
        <v>560</v>
      </c>
      <c r="B30" s="70" t="s">
        <v>566</v>
      </c>
      <c r="C30" s="70" t="s">
        <v>567</v>
      </c>
      <c r="D30" s="70" t="s">
        <v>568</v>
      </c>
    </row>
    <row r="31" spans="1:17">
      <c r="B31" s="329">
        <f>B22+B13+B4</f>
        <v>0</v>
      </c>
      <c r="C31" s="329">
        <f t="shared" ref="C31:D31" si="0">C22+C13+C4</f>
        <v>0</v>
      </c>
      <c r="D31" s="329">
        <f t="shared" si="0"/>
        <v>0</v>
      </c>
    </row>
    <row r="33" spans="1:6">
      <c r="B33" s="70" t="s">
        <v>563</v>
      </c>
      <c r="C33" s="70" t="s">
        <v>564</v>
      </c>
      <c r="D33" s="70" t="s">
        <v>565</v>
      </c>
    </row>
    <row r="34" spans="1:6">
      <c r="B34" s="329">
        <f>B31/I2</f>
        <v>0</v>
      </c>
      <c r="C34" s="329">
        <f>C31/J2</f>
        <v>0</v>
      </c>
      <c r="D34" s="329">
        <f>D31/K2</f>
        <v>0</v>
      </c>
    </row>
    <row r="37" spans="1:6" ht="18">
      <c r="A37" s="1010" t="s">
        <v>97</v>
      </c>
      <c r="B37" s="1010"/>
      <c r="C37" s="1010"/>
      <c r="D37" s="1010"/>
      <c r="E37" s="1010"/>
      <c r="F37" s="1010"/>
    </row>
    <row r="38" spans="1:6">
      <c r="B38" s="151" t="s">
        <v>146</v>
      </c>
      <c r="C38" s="151" t="s">
        <v>146</v>
      </c>
      <c r="D38" s="151" t="s">
        <v>146</v>
      </c>
    </row>
    <row r="39" spans="1:6">
      <c r="A39" t="s">
        <v>599</v>
      </c>
      <c r="B39" s="326" t="s">
        <v>76</v>
      </c>
      <c r="C39" s="326" t="s">
        <v>130</v>
      </c>
      <c r="D39" s="326" t="s">
        <v>131</v>
      </c>
    </row>
    <row r="40" spans="1:6">
      <c r="B40" s="391">
        <v>0</v>
      </c>
      <c r="C40" s="391">
        <v>0</v>
      </c>
      <c r="D40" s="391">
        <v>0</v>
      </c>
    </row>
    <row r="41" spans="1:6">
      <c r="C41" s="151"/>
      <c r="D41" s="4"/>
    </row>
    <row r="42" spans="1:6">
      <c r="B42" s="70" t="s">
        <v>563</v>
      </c>
      <c r="C42" s="70" t="s">
        <v>564</v>
      </c>
      <c r="D42" s="70" t="s">
        <v>565</v>
      </c>
    </row>
    <row r="43" spans="1:6">
      <c r="B43" s="329">
        <f>B40/I2</f>
        <v>0</v>
      </c>
      <c r="C43" s="329">
        <f>C40/J2</f>
        <v>0</v>
      </c>
      <c r="D43" s="329">
        <f>D40/K2</f>
        <v>0</v>
      </c>
    </row>
    <row r="44" spans="1:6">
      <c r="C44" s="4"/>
      <c r="D44" s="4"/>
    </row>
    <row r="45" spans="1:6">
      <c r="C45" s="151" t="s">
        <v>146</v>
      </c>
      <c r="D45" s="4"/>
    </row>
    <row r="46" spans="1:6">
      <c r="B46" t="s">
        <v>557</v>
      </c>
      <c r="C46" s="391">
        <v>0</v>
      </c>
    </row>
    <row r="48" spans="1:6">
      <c r="B48" s="70" t="s">
        <v>566</v>
      </c>
      <c r="C48" s="70" t="s">
        <v>567</v>
      </c>
      <c r="D48" s="70" t="s">
        <v>568</v>
      </c>
    </row>
    <row r="49" spans="1:4">
      <c r="B49" s="329">
        <f>$C$46/($I$2+$J$2+$K$2)*I2</f>
        <v>0</v>
      </c>
      <c r="C49" s="329">
        <f>$C$46/($I$2+$J$2+$K$2)*J2</f>
        <v>0</v>
      </c>
      <c r="D49" s="329">
        <f>$C$46/($I$2+$J$2+$K$2)*K2</f>
        <v>0</v>
      </c>
    </row>
    <row r="51" spans="1:4">
      <c r="B51" s="70" t="s">
        <v>563</v>
      </c>
      <c r="C51" s="70" t="s">
        <v>564</v>
      </c>
      <c r="D51" s="70" t="s">
        <v>565</v>
      </c>
    </row>
    <row r="52" spans="1:4">
      <c r="B52" s="329">
        <f>B49/I2</f>
        <v>0</v>
      </c>
      <c r="C52" s="329">
        <f>C49/J2</f>
        <v>0</v>
      </c>
      <c r="D52" s="329">
        <f>D49/K2</f>
        <v>0</v>
      </c>
    </row>
    <row r="56" spans="1:4">
      <c r="A56" t="s">
        <v>600</v>
      </c>
      <c r="B56" s="70" t="s">
        <v>566</v>
      </c>
      <c r="C56" s="70" t="s">
        <v>567</v>
      </c>
      <c r="D56" s="70" t="s">
        <v>568</v>
      </c>
    </row>
    <row r="57" spans="1:4">
      <c r="B57" s="329">
        <f>B49+B40</f>
        <v>0</v>
      </c>
      <c r="C57" s="329">
        <f t="shared" ref="C57:D57" si="1">C49+C40</f>
        <v>0</v>
      </c>
      <c r="D57" s="329">
        <f t="shared" si="1"/>
        <v>0</v>
      </c>
    </row>
    <row r="59" spans="1:4">
      <c r="B59" s="70" t="s">
        <v>563</v>
      </c>
      <c r="C59" s="70" t="s">
        <v>564</v>
      </c>
      <c r="D59" s="70" t="s">
        <v>565</v>
      </c>
    </row>
    <row r="60" spans="1:4">
      <c r="B60" s="329">
        <f>B57/I2</f>
        <v>0</v>
      </c>
      <c r="C60" s="329">
        <f t="shared" ref="C60:D60" si="2">C57/J2</f>
        <v>0</v>
      </c>
      <c r="D60" s="329">
        <f t="shared" si="2"/>
        <v>0</v>
      </c>
    </row>
  </sheetData>
  <sheetProtection sheet="1" objects="1" scenarios="1"/>
  <mergeCells count="6">
    <mergeCell ref="A1:F1"/>
    <mergeCell ref="F27:F28"/>
    <mergeCell ref="A37:F37"/>
    <mergeCell ref="M1:R1"/>
    <mergeCell ref="M14:R14"/>
    <mergeCell ref="N17:N18"/>
  </mergeCells>
  <pageMargins left="0.7" right="0.7" top="0.75" bottom="0.75" header="0.3" footer="0.3"/>
  <pageSetup scale="74"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O246"/>
  <sheetViews>
    <sheetView zoomScale="90" zoomScaleNormal="90" workbookViewId="0">
      <selection activeCell="L126" sqref="L126"/>
    </sheetView>
  </sheetViews>
  <sheetFormatPr defaultRowHeight="14.4"/>
  <cols>
    <col min="1" max="1" width="61.44140625" bestFit="1" customWidth="1"/>
    <col min="2" max="2" width="11.109375" bestFit="1" customWidth="1"/>
    <col min="4" max="4" width="11.109375" bestFit="1" customWidth="1"/>
    <col min="5" max="5" width="12.33203125" bestFit="1" customWidth="1"/>
    <col min="6" max="6" width="12.88671875" style="5" customWidth="1"/>
    <col min="7" max="7" width="2" bestFit="1" customWidth="1"/>
    <col min="8" max="8" width="11" bestFit="1" customWidth="1"/>
    <col min="9" max="9" width="9.5546875" bestFit="1" customWidth="1"/>
    <col min="10" max="10" width="6.88671875" bestFit="1" customWidth="1"/>
    <col min="11" max="11" width="9.33203125" bestFit="1" customWidth="1"/>
    <col min="12" max="12" width="9.6640625" bestFit="1" customWidth="1"/>
    <col min="13" max="13" width="11.33203125" bestFit="1" customWidth="1"/>
    <col min="14" max="14" width="7.44140625" bestFit="1" customWidth="1"/>
    <col min="15" max="15" width="13" bestFit="1" customWidth="1"/>
  </cols>
  <sheetData>
    <row r="1" spans="1:15">
      <c r="A1" s="4">
        <v>1</v>
      </c>
      <c r="B1" s="4">
        <v>2</v>
      </c>
      <c r="C1" s="4">
        <v>3</v>
      </c>
      <c r="D1" s="4">
        <v>4</v>
      </c>
      <c r="E1" s="4">
        <v>5</v>
      </c>
      <c r="F1" s="5" t="s">
        <v>257</v>
      </c>
    </row>
    <row r="2" spans="1:15" ht="18">
      <c r="A2" s="1010" t="s">
        <v>748</v>
      </c>
      <c r="B2" s="1010"/>
      <c r="C2" s="1010"/>
      <c r="D2" s="1010"/>
      <c r="E2" s="1010"/>
      <c r="F2" s="1010"/>
      <c r="I2" s="601" t="s">
        <v>747</v>
      </c>
      <c r="J2" s="601" t="s">
        <v>46</v>
      </c>
      <c r="K2" s="601" t="s">
        <v>49</v>
      </c>
      <c r="L2" s="601" t="s">
        <v>48</v>
      </c>
      <c r="M2" s="601" t="s">
        <v>47</v>
      </c>
      <c r="N2" s="601" t="s">
        <v>219</v>
      </c>
      <c r="O2" s="600" t="s">
        <v>220</v>
      </c>
    </row>
    <row r="3" spans="1:15" ht="15.6">
      <c r="A3" s="599" t="s">
        <v>46</v>
      </c>
      <c r="B3" s="599" t="s">
        <v>49</v>
      </c>
      <c r="C3" s="599" t="s">
        <v>48</v>
      </c>
      <c r="D3" s="599" t="s">
        <v>47</v>
      </c>
      <c r="E3" s="599" t="s">
        <v>219</v>
      </c>
      <c r="F3" s="600" t="s">
        <v>220</v>
      </c>
      <c r="I3" s="601"/>
      <c r="J3" s="602" t="s">
        <v>51</v>
      </c>
      <c r="K3" s="601" t="s">
        <v>52</v>
      </c>
      <c r="L3" s="603">
        <v>8</v>
      </c>
      <c r="M3" s="601" t="s">
        <v>53</v>
      </c>
      <c r="N3" s="601" t="s">
        <v>195</v>
      </c>
      <c r="O3" s="600">
        <v>4</v>
      </c>
    </row>
    <row r="4" spans="1:15" hidden="1">
      <c r="A4" t="s">
        <v>13</v>
      </c>
      <c r="C4">
        <v>1</v>
      </c>
      <c r="D4" t="s">
        <v>13</v>
      </c>
      <c r="E4" t="s">
        <v>13</v>
      </c>
      <c r="F4" s="4"/>
    </row>
    <row r="5" spans="1:15" ht="15.6" hidden="1">
      <c r="A5" s="2" t="s">
        <v>51</v>
      </c>
      <c r="B5" t="s">
        <v>52</v>
      </c>
      <c r="C5" s="3">
        <v>8</v>
      </c>
      <c r="D5" t="s">
        <v>53</v>
      </c>
      <c r="E5" t="s">
        <v>195</v>
      </c>
      <c r="F5" s="5">
        <v>4</v>
      </c>
    </row>
    <row r="6" spans="1:15" ht="15.6" hidden="1">
      <c r="A6" s="2" t="s">
        <v>177</v>
      </c>
      <c r="B6" t="s">
        <v>50</v>
      </c>
      <c r="C6" s="3">
        <v>4</v>
      </c>
      <c r="D6" t="s">
        <v>53</v>
      </c>
      <c r="E6" t="s">
        <v>190</v>
      </c>
      <c r="F6" s="5" t="s">
        <v>244</v>
      </c>
    </row>
    <row r="7" spans="1:15" ht="15.6" hidden="1">
      <c r="A7" s="2" t="s">
        <v>178</v>
      </c>
      <c r="B7" t="s">
        <v>50</v>
      </c>
      <c r="C7" s="3">
        <v>4</v>
      </c>
      <c r="D7" t="s">
        <v>53</v>
      </c>
      <c r="E7" t="s">
        <v>190</v>
      </c>
      <c r="F7" s="5" t="s">
        <v>245</v>
      </c>
    </row>
    <row r="8" spans="1:15" ht="15.6" hidden="1">
      <c r="A8" s="2" t="s">
        <v>180</v>
      </c>
      <c r="B8" t="s">
        <v>52</v>
      </c>
      <c r="C8" s="3">
        <v>8</v>
      </c>
      <c r="D8" t="s">
        <v>53</v>
      </c>
      <c r="E8" t="s">
        <v>190</v>
      </c>
      <c r="F8" s="5" t="s">
        <v>224</v>
      </c>
    </row>
    <row r="9" spans="1:15" ht="15.6" hidden="1">
      <c r="A9" s="2" t="s">
        <v>179</v>
      </c>
      <c r="B9" t="s">
        <v>55</v>
      </c>
      <c r="C9" s="3">
        <v>128</v>
      </c>
      <c r="D9" t="s">
        <v>56</v>
      </c>
      <c r="E9" t="s">
        <v>190</v>
      </c>
      <c r="F9" s="5" t="s">
        <v>246</v>
      </c>
    </row>
    <row r="10" spans="1:15" ht="15.6" hidden="1">
      <c r="A10" s="2" t="s">
        <v>57</v>
      </c>
      <c r="B10" t="s">
        <v>55</v>
      </c>
      <c r="C10" s="3">
        <v>128</v>
      </c>
      <c r="D10" t="s">
        <v>56</v>
      </c>
      <c r="E10" t="s">
        <v>190</v>
      </c>
      <c r="F10" s="5" t="s">
        <v>225</v>
      </c>
    </row>
    <row r="11" spans="1:15" ht="15.6" hidden="1">
      <c r="A11" s="2" t="s">
        <v>168</v>
      </c>
      <c r="B11" t="s">
        <v>58</v>
      </c>
      <c r="C11" s="3">
        <v>1</v>
      </c>
      <c r="D11" t="s">
        <v>29</v>
      </c>
      <c r="E11" t="s">
        <v>191</v>
      </c>
      <c r="F11" s="5" t="s">
        <v>237</v>
      </c>
    </row>
    <row r="12" spans="1:15" ht="15.6" hidden="1">
      <c r="A12" s="2" t="s">
        <v>167</v>
      </c>
      <c r="B12" t="s">
        <v>50</v>
      </c>
      <c r="C12" s="3">
        <v>4</v>
      </c>
      <c r="D12" t="s">
        <v>53</v>
      </c>
      <c r="E12" t="s">
        <v>191</v>
      </c>
      <c r="F12" s="5" t="s">
        <v>237</v>
      </c>
    </row>
    <row r="13" spans="1:15" ht="15.6" hidden="1">
      <c r="A13" s="2" t="s">
        <v>169</v>
      </c>
      <c r="B13" t="s">
        <v>55</v>
      </c>
      <c r="C13" s="3">
        <v>128</v>
      </c>
      <c r="D13" t="s">
        <v>53</v>
      </c>
      <c r="E13" t="s">
        <v>191</v>
      </c>
      <c r="F13" s="5" t="s">
        <v>238</v>
      </c>
    </row>
    <row r="14" spans="1:15" ht="15.6" hidden="1">
      <c r="A14" s="2" t="s">
        <v>198</v>
      </c>
      <c r="B14" t="s">
        <v>52</v>
      </c>
      <c r="C14" s="3">
        <v>8</v>
      </c>
      <c r="D14" t="s">
        <v>53</v>
      </c>
      <c r="E14" t="s">
        <v>195</v>
      </c>
      <c r="F14" s="5">
        <v>4</v>
      </c>
    </row>
    <row r="15" spans="1:15" ht="15.6" hidden="1">
      <c r="A15" s="2" t="s">
        <v>181</v>
      </c>
      <c r="B15" t="s">
        <v>55</v>
      </c>
      <c r="C15" s="3">
        <v>128</v>
      </c>
      <c r="D15" t="s">
        <v>56</v>
      </c>
      <c r="E15" t="s">
        <v>190</v>
      </c>
      <c r="F15" s="5" t="s">
        <v>233</v>
      </c>
    </row>
    <row r="16" spans="1:15" ht="15.6" hidden="1">
      <c r="A16" s="2" t="s">
        <v>248</v>
      </c>
      <c r="B16" t="s">
        <v>50</v>
      </c>
      <c r="C16" s="3">
        <v>4</v>
      </c>
      <c r="D16" t="s">
        <v>53</v>
      </c>
      <c r="E16" t="s">
        <v>190</v>
      </c>
      <c r="F16" s="5" t="s">
        <v>247</v>
      </c>
    </row>
    <row r="17" spans="1:6" ht="15.6" hidden="1">
      <c r="A17" s="2" t="s">
        <v>182</v>
      </c>
      <c r="B17" t="s">
        <v>50</v>
      </c>
      <c r="C17" s="3">
        <v>4</v>
      </c>
      <c r="D17" t="s">
        <v>53</v>
      </c>
      <c r="E17" t="s">
        <v>190</v>
      </c>
      <c r="F17" s="5" t="s">
        <v>247</v>
      </c>
    </row>
    <row r="18" spans="1:6" ht="15.6" hidden="1">
      <c r="A18" s="2" t="s">
        <v>184</v>
      </c>
      <c r="B18" t="s">
        <v>50</v>
      </c>
      <c r="C18" s="3">
        <v>4</v>
      </c>
      <c r="D18" t="s">
        <v>53</v>
      </c>
      <c r="E18" t="s">
        <v>190</v>
      </c>
      <c r="F18" s="5" t="s">
        <v>247</v>
      </c>
    </row>
    <row r="19" spans="1:6" ht="15.6" hidden="1">
      <c r="A19" s="2" t="s">
        <v>183</v>
      </c>
      <c r="B19" t="s">
        <v>50</v>
      </c>
      <c r="C19" s="3">
        <v>4</v>
      </c>
      <c r="D19" t="s">
        <v>53</v>
      </c>
      <c r="E19" t="s">
        <v>190</v>
      </c>
      <c r="F19" s="5" t="s">
        <v>247</v>
      </c>
    </row>
    <row r="20" spans="1:6" ht="15.6" hidden="1">
      <c r="A20" s="2" t="s">
        <v>170</v>
      </c>
      <c r="B20" t="s">
        <v>52</v>
      </c>
      <c r="C20" s="3">
        <v>8</v>
      </c>
      <c r="D20" t="s">
        <v>53</v>
      </c>
      <c r="E20" t="s">
        <v>191</v>
      </c>
      <c r="F20" s="5" t="s">
        <v>239</v>
      </c>
    </row>
    <row r="21" spans="1:6" ht="15.6" hidden="1">
      <c r="A21" s="2" t="s">
        <v>171</v>
      </c>
      <c r="B21" t="s">
        <v>55</v>
      </c>
      <c r="C21" s="3">
        <v>128</v>
      </c>
      <c r="D21" t="s">
        <v>53</v>
      </c>
      <c r="E21" t="s">
        <v>191</v>
      </c>
      <c r="F21" s="5" t="s">
        <v>238</v>
      </c>
    </row>
    <row r="22" spans="1:6" ht="15.6" hidden="1">
      <c r="A22" s="2" t="s">
        <v>62</v>
      </c>
      <c r="B22" t="s">
        <v>55</v>
      </c>
      <c r="C22" s="3">
        <v>1</v>
      </c>
      <c r="D22" t="s">
        <v>56</v>
      </c>
      <c r="E22" t="s">
        <v>190</v>
      </c>
      <c r="F22" s="5" t="s">
        <v>227</v>
      </c>
    </row>
    <row r="23" spans="1:6" ht="15.6" hidden="1">
      <c r="A23" s="2" t="s">
        <v>675</v>
      </c>
      <c r="B23" t="s">
        <v>55</v>
      </c>
      <c r="C23" s="3">
        <v>128</v>
      </c>
      <c r="D23" t="s">
        <v>56</v>
      </c>
      <c r="E23" t="s">
        <v>190</v>
      </c>
      <c r="F23" s="5" t="s">
        <v>233</v>
      </c>
    </row>
    <row r="24" spans="1:6" ht="15.6" hidden="1">
      <c r="A24" s="2" t="s">
        <v>172</v>
      </c>
      <c r="B24" t="s">
        <v>50</v>
      </c>
      <c r="C24" s="3">
        <v>4</v>
      </c>
      <c r="D24" t="s">
        <v>53</v>
      </c>
      <c r="E24" t="s">
        <v>191</v>
      </c>
      <c r="F24" s="5" t="s">
        <v>239</v>
      </c>
    </row>
    <row r="25" spans="1:6" ht="15.6" hidden="1">
      <c r="A25" s="2" t="s">
        <v>254</v>
      </c>
      <c r="B25" t="s">
        <v>52</v>
      </c>
      <c r="C25" s="3">
        <v>8</v>
      </c>
      <c r="D25" t="s">
        <v>53</v>
      </c>
      <c r="E25" t="s">
        <v>221</v>
      </c>
      <c r="F25" s="5" t="s">
        <v>256</v>
      </c>
    </row>
    <row r="26" spans="1:6" ht="15.6" hidden="1">
      <c r="A26" s="2" t="s">
        <v>253</v>
      </c>
      <c r="B26" t="s">
        <v>52</v>
      </c>
      <c r="C26" s="3">
        <v>8</v>
      </c>
      <c r="D26" t="s">
        <v>53</v>
      </c>
      <c r="E26" t="s">
        <v>195</v>
      </c>
      <c r="F26" s="5" t="s">
        <v>255</v>
      </c>
    </row>
    <row r="27" spans="1:6" ht="15.6" hidden="1">
      <c r="A27" s="2" t="s">
        <v>185</v>
      </c>
      <c r="B27" t="s">
        <v>55</v>
      </c>
      <c r="C27" s="3">
        <v>128</v>
      </c>
      <c r="D27" t="s">
        <v>56</v>
      </c>
      <c r="E27" t="s">
        <v>190</v>
      </c>
      <c r="F27" s="5" t="s">
        <v>223</v>
      </c>
    </row>
    <row r="28" spans="1:6" ht="15.6" hidden="1">
      <c r="A28" s="2" t="s">
        <v>222</v>
      </c>
      <c r="B28" t="s">
        <v>55</v>
      </c>
      <c r="C28" s="3">
        <v>128</v>
      </c>
      <c r="D28" t="s">
        <v>53</v>
      </c>
      <c r="E28" t="s">
        <v>195</v>
      </c>
      <c r="F28" s="5">
        <v>9</v>
      </c>
    </row>
    <row r="29" spans="1:6" ht="15.6" hidden="1">
      <c r="A29" s="2" t="s">
        <v>186</v>
      </c>
      <c r="B29" t="s">
        <v>55</v>
      </c>
      <c r="C29" s="3">
        <v>128</v>
      </c>
      <c r="D29" t="s">
        <v>56</v>
      </c>
      <c r="E29" t="s">
        <v>190</v>
      </c>
      <c r="F29" s="5" t="s">
        <v>225</v>
      </c>
    </row>
    <row r="30" spans="1:6" ht="15.6" hidden="1">
      <c r="A30" s="2" t="s">
        <v>187</v>
      </c>
      <c r="B30" t="s">
        <v>55</v>
      </c>
      <c r="C30" s="3">
        <v>128</v>
      </c>
      <c r="D30" t="s">
        <v>56</v>
      </c>
      <c r="E30" t="s">
        <v>190</v>
      </c>
      <c r="F30" s="5" t="s">
        <v>229</v>
      </c>
    </row>
    <row r="31" spans="1:6" ht="15.6" hidden="1">
      <c r="A31" s="2" t="s">
        <v>188</v>
      </c>
      <c r="B31" t="s">
        <v>55</v>
      </c>
      <c r="C31" s="3">
        <v>128</v>
      </c>
      <c r="D31" t="s">
        <v>56</v>
      </c>
      <c r="E31" t="s">
        <v>190</v>
      </c>
      <c r="F31" s="5" t="s">
        <v>227</v>
      </c>
    </row>
    <row r="32" spans="1:6" ht="15.6" hidden="1">
      <c r="A32" s="2" t="s">
        <v>64</v>
      </c>
      <c r="B32" t="s">
        <v>50</v>
      </c>
      <c r="C32" s="3">
        <v>4</v>
      </c>
      <c r="D32" t="s">
        <v>53</v>
      </c>
      <c r="E32" t="s">
        <v>190</v>
      </c>
      <c r="F32" s="5" t="s">
        <v>249</v>
      </c>
    </row>
    <row r="33" spans="1:6" ht="15.6" hidden="1">
      <c r="A33" s="2" t="s">
        <v>66</v>
      </c>
      <c r="B33" t="s">
        <v>50</v>
      </c>
      <c r="C33" s="3">
        <v>4</v>
      </c>
      <c r="D33" t="s">
        <v>53</v>
      </c>
      <c r="E33" t="s">
        <v>190</v>
      </c>
      <c r="F33" s="5" t="s">
        <v>249</v>
      </c>
    </row>
    <row r="34" spans="1:6" ht="15.6" hidden="1">
      <c r="A34" s="2" t="s">
        <v>67</v>
      </c>
      <c r="B34" t="s">
        <v>55</v>
      </c>
      <c r="C34" s="3">
        <v>128</v>
      </c>
      <c r="D34" t="s">
        <v>53</v>
      </c>
      <c r="E34" t="s">
        <v>191</v>
      </c>
      <c r="F34" s="5" t="s">
        <v>239</v>
      </c>
    </row>
    <row r="35" spans="1:6" ht="15.6" hidden="1">
      <c r="A35" s="2" t="s">
        <v>676</v>
      </c>
      <c r="B35" t="s">
        <v>55</v>
      </c>
      <c r="C35" s="3">
        <v>128</v>
      </c>
      <c r="D35" t="s">
        <v>56</v>
      </c>
      <c r="E35" t="s">
        <v>190</v>
      </c>
      <c r="F35" s="5" t="s">
        <v>233</v>
      </c>
    </row>
    <row r="36" spans="1:6" ht="15.6" hidden="1">
      <c r="A36" s="2" t="s">
        <v>189</v>
      </c>
      <c r="B36" t="s">
        <v>55</v>
      </c>
      <c r="C36" s="3">
        <v>128</v>
      </c>
      <c r="D36" t="s">
        <v>56</v>
      </c>
      <c r="E36" t="s">
        <v>190</v>
      </c>
      <c r="F36" s="5" t="s">
        <v>227</v>
      </c>
    </row>
    <row r="37" spans="1:6" ht="15.6" hidden="1">
      <c r="A37" s="2" t="s">
        <v>173</v>
      </c>
      <c r="B37" t="s">
        <v>50</v>
      </c>
      <c r="C37" s="3">
        <v>4</v>
      </c>
      <c r="D37" t="s">
        <v>53</v>
      </c>
      <c r="E37" t="s">
        <v>191</v>
      </c>
      <c r="F37" s="5" t="s">
        <v>237</v>
      </c>
    </row>
    <row r="38" spans="1:6" ht="15.6" hidden="1">
      <c r="A38" s="2" t="s">
        <v>68</v>
      </c>
      <c r="B38" t="s">
        <v>52</v>
      </c>
      <c r="C38" s="3">
        <v>8</v>
      </c>
      <c r="D38" t="s">
        <v>53</v>
      </c>
      <c r="E38" t="s">
        <v>191</v>
      </c>
      <c r="F38" s="5" t="s">
        <v>240</v>
      </c>
    </row>
    <row r="39" spans="1:6" ht="15.6" hidden="1">
      <c r="A39" s="2" t="s">
        <v>174</v>
      </c>
      <c r="B39" t="s">
        <v>55</v>
      </c>
      <c r="C39" s="3">
        <v>128</v>
      </c>
      <c r="D39" t="s">
        <v>53</v>
      </c>
      <c r="E39" t="s">
        <v>191</v>
      </c>
      <c r="F39" s="5" t="s">
        <v>241</v>
      </c>
    </row>
    <row r="40" spans="1:6" ht="15.6" hidden="1">
      <c r="A40" s="2" t="s">
        <v>192</v>
      </c>
      <c r="B40" t="s">
        <v>50</v>
      </c>
      <c r="C40" s="3">
        <v>4</v>
      </c>
      <c r="D40" t="s">
        <v>53</v>
      </c>
      <c r="E40" t="s">
        <v>190</v>
      </c>
      <c r="F40" s="5" t="s">
        <v>250</v>
      </c>
    </row>
    <row r="41" spans="1:6" ht="15.6" hidden="1">
      <c r="A41" s="2" t="s">
        <v>175</v>
      </c>
      <c r="B41" t="s">
        <v>55</v>
      </c>
      <c r="C41" s="3">
        <v>1</v>
      </c>
      <c r="D41" t="s">
        <v>56</v>
      </c>
      <c r="E41" t="s">
        <v>191</v>
      </c>
      <c r="F41" s="5" t="s">
        <v>241</v>
      </c>
    </row>
    <row r="42" spans="1:6" ht="15.6" hidden="1">
      <c r="A42" s="2" t="s">
        <v>69</v>
      </c>
      <c r="B42" t="s">
        <v>55</v>
      </c>
      <c r="C42" s="3">
        <v>128</v>
      </c>
      <c r="D42" t="s">
        <v>53</v>
      </c>
      <c r="E42" t="s">
        <v>191</v>
      </c>
      <c r="F42" s="5" t="s">
        <v>242</v>
      </c>
    </row>
    <row r="43" spans="1:6" ht="15.6" hidden="1">
      <c r="A43" s="2" t="s">
        <v>193</v>
      </c>
      <c r="B43" t="s">
        <v>50</v>
      </c>
      <c r="C43" s="3">
        <v>4</v>
      </c>
      <c r="D43" t="s">
        <v>53</v>
      </c>
      <c r="E43" t="s">
        <v>190</v>
      </c>
      <c r="F43" s="5" t="s">
        <v>251</v>
      </c>
    </row>
    <row r="44" spans="1:6" ht="15.6" hidden="1">
      <c r="A44" s="2" t="s">
        <v>176</v>
      </c>
      <c r="B44" t="s">
        <v>55</v>
      </c>
      <c r="C44" s="3">
        <v>128</v>
      </c>
      <c r="D44" t="s">
        <v>53</v>
      </c>
      <c r="E44" t="s">
        <v>191</v>
      </c>
      <c r="F44" s="5" t="s">
        <v>242</v>
      </c>
    </row>
    <row r="45" spans="1:6" ht="15.6" hidden="1">
      <c r="A45" s="2" t="s">
        <v>70</v>
      </c>
      <c r="B45" t="s">
        <v>55</v>
      </c>
      <c r="C45" s="3">
        <v>128</v>
      </c>
      <c r="D45" t="s">
        <v>53</v>
      </c>
      <c r="E45" t="s">
        <v>190</v>
      </c>
      <c r="F45" s="5" t="s">
        <v>223</v>
      </c>
    </row>
    <row r="46" spans="1:6" ht="15.6" hidden="1">
      <c r="A46" s="2" t="s">
        <v>71</v>
      </c>
      <c r="B46" t="s">
        <v>52</v>
      </c>
      <c r="C46" s="3">
        <v>8</v>
      </c>
      <c r="D46" t="s">
        <v>53</v>
      </c>
      <c r="E46" t="s">
        <v>191</v>
      </c>
      <c r="F46" s="5" t="s">
        <v>243</v>
      </c>
    </row>
    <row r="47" spans="1:6" ht="15.6" hidden="1">
      <c r="A47" s="2" t="s">
        <v>194</v>
      </c>
      <c r="B47" t="s">
        <v>50</v>
      </c>
      <c r="C47" s="3">
        <v>4</v>
      </c>
      <c r="D47" t="s">
        <v>53</v>
      </c>
      <c r="E47" t="s">
        <v>190</v>
      </c>
      <c r="F47" s="5" t="s">
        <v>252</v>
      </c>
    </row>
    <row r="48" spans="1:6" ht="15.6" hidden="1">
      <c r="A48" s="2" t="s">
        <v>72</v>
      </c>
      <c r="B48" t="s">
        <v>55</v>
      </c>
      <c r="C48" s="3">
        <v>1</v>
      </c>
      <c r="D48" t="s">
        <v>53</v>
      </c>
      <c r="E48" t="s">
        <v>191</v>
      </c>
      <c r="F48" s="5" t="s">
        <v>239</v>
      </c>
    </row>
    <row r="49" spans="1:6" ht="15.6">
      <c r="A49" s="596" t="s">
        <v>737</v>
      </c>
      <c r="B49" s="596" t="s">
        <v>737</v>
      </c>
      <c r="C49" s="597">
        <v>0</v>
      </c>
      <c r="D49" s="596" t="s">
        <v>737</v>
      </c>
      <c r="E49" s="596" t="s">
        <v>737</v>
      </c>
      <c r="F49" s="597">
        <v>0</v>
      </c>
    </row>
    <row r="50" spans="1:6" ht="15.6">
      <c r="A50" s="596" t="s">
        <v>737</v>
      </c>
      <c r="B50" s="596" t="s">
        <v>737</v>
      </c>
      <c r="C50" s="597">
        <v>0</v>
      </c>
      <c r="D50" s="596" t="s">
        <v>737</v>
      </c>
      <c r="E50" s="596" t="s">
        <v>737</v>
      </c>
      <c r="F50" s="597">
        <v>0</v>
      </c>
    </row>
    <row r="51" spans="1:6" ht="15.6">
      <c r="A51" s="596" t="s">
        <v>737</v>
      </c>
      <c r="B51" s="596" t="s">
        <v>737</v>
      </c>
      <c r="C51" s="597">
        <v>0</v>
      </c>
      <c r="D51" s="596" t="s">
        <v>737</v>
      </c>
      <c r="E51" s="596" t="s">
        <v>737</v>
      </c>
      <c r="F51" s="597">
        <v>0</v>
      </c>
    </row>
    <row r="52" spans="1:6" ht="15.6">
      <c r="A52" s="596" t="s">
        <v>737</v>
      </c>
      <c r="B52" s="596" t="s">
        <v>737</v>
      </c>
      <c r="C52" s="597">
        <v>0</v>
      </c>
      <c r="D52" s="596" t="s">
        <v>737</v>
      </c>
      <c r="E52" s="596" t="s">
        <v>737</v>
      </c>
      <c r="F52" s="597">
        <v>0</v>
      </c>
    </row>
    <row r="53" spans="1:6" ht="15.6">
      <c r="A53" s="596" t="s">
        <v>737</v>
      </c>
      <c r="B53" s="596" t="s">
        <v>737</v>
      </c>
      <c r="C53" s="597">
        <v>0</v>
      </c>
      <c r="D53" s="596" t="s">
        <v>737</v>
      </c>
      <c r="E53" s="596" t="s">
        <v>737</v>
      </c>
      <c r="F53" s="597">
        <v>0</v>
      </c>
    </row>
    <row r="54" spans="1:6" ht="15.6">
      <c r="A54" s="596" t="s">
        <v>737</v>
      </c>
      <c r="B54" s="596" t="s">
        <v>737</v>
      </c>
      <c r="C54" s="597">
        <v>0</v>
      </c>
      <c r="D54" s="596" t="s">
        <v>737</v>
      </c>
      <c r="E54" s="596" t="s">
        <v>737</v>
      </c>
      <c r="F54" s="597">
        <v>0</v>
      </c>
    </row>
    <row r="55" spans="1:6" ht="15.6">
      <c r="A55" s="596" t="s">
        <v>737</v>
      </c>
      <c r="B55" s="596" t="s">
        <v>737</v>
      </c>
      <c r="C55" s="597">
        <v>0</v>
      </c>
      <c r="D55" s="596" t="s">
        <v>737</v>
      </c>
      <c r="E55" s="596" t="s">
        <v>737</v>
      </c>
      <c r="F55" s="597">
        <v>0</v>
      </c>
    </row>
    <row r="56" spans="1:6" ht="15.6">
      <c r="A56" s="596" t="s">
        <v>737</v>
      </c>
      <c r="B56" s="596" t="s">
        <v>737</v>
      </c>
      <c r="C56" s="597">
        <v>0</v>
      </c>
      <c r="D56" s="596" t="s">
        <v>737</v>
      </c>
      <c r="E56" s="596" t="s">
        <v>737</v>
      </c>
      <c r="F56" s="597">
        <v>0</v>
      </c>
    </row>
    <row r="57" spans="1:6" ht="15.6">
      <c r="A57" s="2"/>
      <c r="C57" s="3"/>
    </row>
    <row r="58" spans="1:6" ht="18">
      <c r="A58" s="1010" t="s">
        <v>749</v>
      </c>
      <c r="B58" s="1010"/>
      <c r="C58" s="1010"/>
      <c r="D58" s="1010"/>
      <c r="E58" s="1010"/>
      <c r="F58" s="1010"/>
    </row>
    <row r="59" spans="1:6" hidden="1">
      <c r="A59" t="s">
        <v>13</v>
      </c>
      <c r="C59">
        <v>1</v>
      </c>
      <c r="D59" t="s">
        <v>13</v>
      </c>
      <c r="E59" t="s">
        <v>195</v>
      </c>
    </row>
    <row r="60" spans="1:6" ht="15.6" hidden="1">
      <c r="A60" s="2" t="s">
        <v>51</v>
      </c>
      <c r="B60" t="s">
        <v>52</v>
      </c>
      <c r="C60" s="3">
        <v>8</v>
      </c>
      <c r="D60" t="s">
        <v>53</v>
      </c>
      <c r="E60" t="s">
        <v>195</v>
      </c>
      <c r="F60" s="5">
        <v>4</v>
      </c>
    </row>
    <row r="61" spans="1:6" ht="15.6" hidden="1">
      <c r="A61" s="2" t="s">
        <v>196</v>
      </c>
      <c r="B61" t="s">
        <v>55</v>
      </c>
      <c r="C61" s="3">
        <v>1</v>
      </c>
      <c r="D61" t="s">
        <v>56</v>
      </c>
      <c r="E61" t="s">
        <v>195</v>
      </c>
      <c r="F61" s="5">
        <v>2</v>
      </c>
    </row>
    <row r="62" spans="1:6" ht="15.6" hidden="1">
      <c r="A62" s="2" t="s">
        <v>197</v>
      </c>
      <c r="B62" t="s">
        <v>55</v>
      </c>
      <c r="C62" s="3">
        <v>1</v>
      </c>
      <c r="D62" t="s">
        <v>56</v>
      </c>
      <c r="E62" t="s">
        <v>195</v>
      </c>
      <c r="F62" s="5">
        <v>14</v>
      </c>
    </row>
    <row r="63" spans="1:6" ht="15.6" hidden="1">
      <c r="A63" s="2" t="s">
        <v>180</v>
      </c>
      <c r="B63" t="s">
        <v>52</v>
      </c>
      <c r="C63" s="3">
        <v>8</v>
      </c>
      <c r="D63" t="s">
        <v>53</v>
      </c>
      <c r="E63" t="s">
        <v>221</v>
      </c>
      <c r="F63" s="5" t="s">
        <v>224</v>
      </c>
    </row>
    <row r="64" spans="1:6" ht="15.6" hidden="1">
      <c r="A64" s="2" t="s">
        <v>179</v>
      </c>
      <c r="B64" t="s">
        <v>55</v>
      </c>
      <c r="C64" s="3">
        <v>128</v>
      </c>
      <c r="D64" t="s">
        <v>53</v>
      </c>
      <c r="E64" t="s">
        <v>221</v>
      </c>
      <c r="F64" s="5" t="s">
        <v>246</v>
      </c>
    </row>
    <row r="65" spans="1:6" ht="15.6" hidden="1">
      <c r="A65" s="2" t="s">
        <v>57</v>
      </c>
      <c r="B65" t="s">
        <v>55</v>
      </c>
      <c r="C65" s="3">
        <v>128</v>
      </c>
      <c r="D65" t="s">
        <v>56</v>
      </c>
      <c r="E65" t="s">
        <v>221</v>
      </c>
      <c r="F65" s="5" t="s">
        <v>225</v>
      </c>
    </row>
    <row r="66" spans="1:6" ht="15.6" hidden="1">
      <c r="A66" s="2" t="s">
        <v>54</v>
      </c>
      <c r="B66" t="s">
        <v>55</v>
      </c>
      <c r="C66" s="3">
        <v>128</v>
      </c>
      <c r="D66" t="s">
        <v>56</v>
      </c>
      <c r="E66" t="s">
        <v>195</v>
      </c>
      <c r="F66" s="5">
        <v>27</v>
      </c>
    </row>
    <row r="67" spans="1:6" ht="15.6" hidden="1">
      <c r="A67" s="2" t="s">
        <v>168</v>
      </c>
      <c r="B67" t="s">
        <v>58</v>
      </c>
      <c r="C67" s="3">
        <v>1</v>
      </c>
      <c r="D67" t="s">
        <v>29</v>
      </c>
      <c r="E67" t="s">
        <v>195</v>
      </c>
      <c r="F67" s="5">
        <v>5</v>
      </c>
    </row>
    <row r="68" spans="1:6" ht="15.6" hidden="1">
      <c r="A68" s="2" t="s">
        <v>167</v>
      </c>
      <c r="B68" t="s">
        <v>50</v>
      </c>
      <c r="C68" s="3">
        <v>4</v>
      </c>
      <c r="D68" t="s">
        <v>53</v>
      </c>
      <c r="E68" t="s">
        <v>195</v>
      </c>
      <c r="F68" s="5">
        <v>5</v>
      </c>
    </row>
    <row r="69" spans="1:6" ht="15.6" hidden="1">
      <c r="A69" s="2" t="s">
        <v>198</v>
      </c>
      <c r="B69" t="s">
        <v>52</v>
      </c>
      <c r="C69" s="3">
        <v>8</v>
      </c>
      <c r="D69" t="s">
        <v>53</v>
      </c>
      <c r="E69" t="s">
        <v>195</v>
      </c>
      <c r="F69" s="5">
        <v>4</v>
      </c>
    </row>
    <row r="70" spans="1:6" ht="15.6" hidden="1">
      <c r="A70" s="2" t="s">
        <v>199</v>
      </c>
      <c r="B70" t="s">
        <v>52</v>
      </c>
      <c r="C70" s="3">
        <v>8</v>
      </c>
      <c r="D70" t="s">
        <v>53</v>
      </c>
      <c r="E70" t="s">
        <v>195</v>
      </c>
      <c r="F70" s="5">
        <v>6</v>
      </c>
    </row>
    <row r="71" spans="1:6" ht="15.6" hidden="1">
      <c r="A71" s="2" t="s">
        <v>200</v>
      </c>
      <c r="B71" t="s">
        <v>55</v>
      </c>
      <c r="C71" s="3">
        <v>1</v>
      </c>
      <c r="D71" t="s">
        <v>56</v>
      </c>
      <c r="E71" t="s">
        <v>195</v>
      </c>
      <c r="F71" s="5">
        <v>2</v>
      </c>
    </row>
    <row r="72" spans="1:6" ht="15.6" hidden="1">
      <c r="A72" s="2" t="s">
        <v>201</v>
      </c>
      <c r="B72" t="s">
        <v>52</v>
      </c>
      <c r="C72" s="3">
        <v>8</v>
      </c>
      <c r="D72" t="s">
        <v>53</v>
      </c>
      <c r="E72" t="s">
        <v>195</v>
      </c>
      <c r="F72" s="5">
        <v>6</v>
      </c>
    </row>
    <row r="73" spans="1:6" ht="15.6" hidden="1">
      <c r="A73" s="2" t="s">
        <v>59</v>
      </c>
      <c r="B73" t="s">
        <v>55</v>
      </c>
      <c r="C73" s="3">
        <v>128</v>
      </c>
      <c r="D73" t="s">
        <v>60</v>
      </c>
      <c r="E73" t="s">
        <v>195</v>
      </c>
      <c r="F73" s="5">
        <v>14</v>
      </c>
    </row>
    <row r="74" spans="1:6" ht="15.6" hidden="1">
      <c r="A74" s="2" t="s">
        <v>171</v>
      </c>
      <c r="B74" t="s">
        <v>55</v>
      </c>
      <c r="C74" s="3">
        <v>128</v>
      </c>
      <c r="D74" t="s">
        <v>53</v>
      </c>
      <c r="E74" t="s">
        <v>195</v>
      </c>
      <c r="F74" s="5">
        <v>27</v>
      </c>
    </row>
    <row r="75" spans="1:6" ht="15.6" hidden="1">
      <c r="A75" s="2" t="s">
        <v>216</v>
      </c>
      <c r="B75" t="s">
        <v>52</v>
      </c>
      <c r="C75" s="3">
        <v>8</v>
      </c>
      <c r="D75" t="s">
        <v>53</v>
      </c>
      <c r="E75" t="s">
        <v>221</v>
      </c>
      <c r="F75" s="5" t="s">
        <v>230</v>
      </c>
    </row>
    <row r="76" spans="1:6" ht="15.6" hidden="1">
      <c r="A76" s="2" t="s">
        <v>207</v>
      </c>
      <c r="B76" t="s">
        <v>55</v>
      </c>
      <c r="C76" s="3">
        <v>128</v>
      </c>
      <c r="D76" t="s">
        <v>53</v>
      </c>
      <c r="E76" t="s">
        <v>221</v>
      </c>
      <c r="F76" s="5" t="s">
        <v>226</v>
      </c>
    </row>
    <row r="77" spans="1:6" ht="15.6" hidden="1">
      <c r="A77" s="2" t="s">
        <v>61</v>
      </c>
      <c r="B77" t="s">
        <v>55</v>
      </c>
      <c r="C77" s="3">
        <v>1</v>
      </c>
      <c r="D77" t="s">
        <v>56</v>
      </c>
      <c r="E77" t="s">
        <v>221</v>
      </c>
      <c r="F77" s="5" t="s">
        <v>227</v>
      </c>
    </row>
    <row r="78" spans="1:6" ht="15.6" hidden="1">
      <c r="A78" s="2" t="s">
        <v>202</v>
      </c>
      <c r="B78" t="s">
        <v>55</v>
      </c>
      <c r="C78" s="3">
        <v>128</v>
      </c>
      <c r="D78" t="s">
        <v>53</v>
      </c>
      <c r="E78" t="s">
        <v>195</v>
      </c>
      <c r="F78" s="5">
        <v>4</v>
      </c>
    </row>
    <row r="79" spans="1:6" ht="15.6" hidden="1">
      <c r="A79" s="2" t="s">
        <v>208</v>
      </c>
      <c r="B79" t="s">
        <v>55</v>
      </c>
      <c r="C79" s="3">
        <v>128</v>
      </c>
      <c r="D79" t="s">
        <v>53</v>
      </c>
      <c r="E79" t="s">
        <v>221</v>
      </c>
      <c r="F79" s="5" t="s">
        <v>228</v>
      </c>
    </row>
    <row r="80" spans="1:6" ht="15.6" hidden="1">
      <c r="A80" s="2" t="s">
        <v>254</v>
      </c>
      <c r="B80" t="s">
        <v>52</v>
      </c>
      <c r="C80" s="3">
        <v>8</v>
      </c>
      <c r="D80" t="s">
        <v>53</v>
      </c>
      <c r="E80" t="s">
        <v>221</v>
      </c>
      <c r="F80" s="5" t="s">
        <v>256</v>
      </c>
    </row>
    <row r="81" spans="1:6" ht="15.6" hidden="1">
      <c r="A81" s="2" t="s">
        <v>253</v>
      </c>
      <c r="B81" t="s">
        <v>52</v>
      </c>
      <c r="C81" s="3">
        <v>8</v>
      </c>
      <c r="D81" t="s">
        <v>53</v>
      </c>
      <c r="E81" t="s">
        <v>195</v>
      </c>
      <c r="F81" s="5" t="s">
        <v>255</v>
      </c>
    </row>
    <row r="82" spans="1:6" ht="15.6" hidden="1">
      <c r="A82" s="2" t="s">
        <v>217</v>
      </c>
      <c r="B82" t="s">
        <v>50</v>
      </c>
      <c r="C82" s="3">
        <v>4</v>
      </c>
      <c r="D82" t="s">
        <v>53</v>
      </c>
      <c r="E82" t="s">
        <v>221</v>
      </c>
      <c r="F82" s="5" t="s">
        <v>231</v>
      </c>
    </row>
    <row r="83" spans="1:6" ht="15.6" hidden="1">
      <c r="A83" s="2" t="s">
        <v>222</v>
      </c>
      <c r="B83" t="s">
        <v>55</v>
      </c>
      <c r="C83" s="3">
        <v>128</v>
      </c>
      <c r="D83" t="s">
        <v>53</v>
      </c>
      <c r="E83" t="s">
        <v>195</v>
      </c>
      <c r="F83" s="5">
        <v>9</v>
      </c>
    </row>
    <row r="84" spans="1:6" ht="15.6" hidden="1">
      <c r="A84" s="2" t="s">
        <v>63</v>
      </c>
      <c r="B84" t="s">
        <v>52</v>
      </c>
      <c r="C84" s="3">
        <v>8</v>
      </c>
      <c r="D84" t="s">
        <v>53</v>
      </c>
      <c r="E84" t="s">
        <v>221</v>
      </c>
      <c r="F84" s="5" t="s">
        <v>232</v>
      </c>
    </row>
    <row r="85" spans="1:6" ht="15.6" hidden="1">
      <c r="A85" s="2" t="s">
        <v>187</v>
      </c>
      <c r="B85" t="s">
        <v>55</v>
      </c>
      <c r="C85" s="3">
        <v>128</v>
      </c>
      <c r="D85" t="s">
        <v>53</v>
      </c>
      <c r="E85" t="s">
        <v>221</v>
      </c>
      <c r="F85" s="5" t="s">
        <v>229</v>
      </c>
    </row>
    <row r="86" spans="1:6" ht="15.6" hidden="1">
      <c r="A86" s="2" t="s">
        <v>588</v>
      </c>
      <c r="B86" t="s">
        <v>55</v>
      </c>
      <c r="C86" s="3">
        <v>128</v>
      </c>
      <c r="D86" t="s">
        <v>53</v>
      </c>
      <c r="E86" t="s">
        <v>221</v>
      </c>
      <c r="F86" s="5" t="s">
        <v>226</v>
      </c>
    </row>
    <row r="87" spans="1:6" ht="15.6" hidden="1">
      <c r="A87" s="2" t="s">
        <v>203</v>
      </c>
      <c r="B87" t="s">
        <v>55</v>
      </c>
      <c r="C87" s="3">
        <v>1</v>
      </c>
      <c r="D87" t="s">
        <v>56</v>
      </c>
      <c r="E87" t="s">
        <v>195</v>
      </c>
      <c r="F87" s="5">
        <v>27</v>
      </c>
    </row>
    <row r="88" spans="1:6" ht="15.6" hidden="1">
      <c r="A88" s="2" t="s">
        <v>65</v>
      </c>
      <c r="B88" t="s">
        <v>55</v>
      </c>
      <c r="C88" s="3">
        <v>128</v>
      </c>
      <c r="D88" t="s">
        <v>53</v>
      </c>
      <c r="E88" t="s">
        <v>195</v>
      </c>
      <c r="F88" s="5">
        <v>10</v>
      </c>
    </row>
    <row r="89" spans="1:6" ht="15.6" hidden="1">
      <c r="A89" s="2" t="s">
        <v>204</v>
      </c>
      <c r="B89" t="s">
        <v>55</v>
      </c>
      <c r="C89" s="3">
        <v>16</v>
      </c>
      <c r="D89" t="s">
        <v>29</v>
      </c>
      <c r="E89" t="s">
        <v>195</v>
      </c>
      <c r="F89" s="5">
        <v>2</v>
      </c>
    </row>
    <row r="90" spans="1:6" ht="15.6" hidden="1">
      <c r="A90" s="2" t="s">
        <v>209</v>
      </c>
      <c r="B90" t="s">
        <v>55</v>
      </c>
      <c r="C90" s="3">
        <v>128</v>
      </c>
      <c r="D90" t="s">
        <v>53</v>
      </c>
      <c r="E90" t="s">
        <v>221</v>
      </c>
      <c r="F90" s="5" t="s">
        <v>227</v>
      </c>
    </row>
    <row r="91" spans="1:6" ht="15.6" hidden="1">
      <c r="A91" s="2" t="s">
        <v>210</v>
      </c>
      <c r="B91" t="s">
        <v>55</v>
      </c>
      <c r="C91" s="3">
        <v>128</v>
      </c>
      <c r="D91" t="s">
        <v>53</v>
      </c>
      <c r="E91" t="s">
        <v>221</v>
      </c>
      <c r="F91" s="5" t="s">
        <v>233</v>
      </c>
    </row>
    <row r="92" spans="1:6" ht="15.6" hidden="1">
      <c r="A92" s="2" t="s">
        <v>205</v>
      </c>
      <c r="B92" t="s">
        <v>55</v>
      </c>
      <c r="C92" s="3">
        <v>128</v>
      </c>
      <c r="D92" t="s">
        <v>53</v>
      </c>
      <c r="E92" t="s">
        <v>195</v>
      </c>
      <c r="F92" s="5">
        <v>14</v>
      </c>
    </row>
    <row r="93" spans="1:6" ht="15.6" hidden="1">
      <c r="A93" s="2" t="s">
        <v>211</v>
      </c>
      <c r="B93" t="s">
        <v>55</v>
      </c>
      <c r="C93" s="3">
        <v>128</v>
      </c>
      <c r="D93" t="s">
        <v>53</v>
      </c>
      <c r="E93" t="s">
        <v>221</v>
      </c>
      <c r="F93" s="5" t="s">
        <v>227</v>
      </c>
    </row>
    <row r="94" spans="1:6" ht="15.6" hidden="1">
      <c r="A94" s="2" t="s">
        <v>218</v>
      </c>
      <c r="B94" t="s">
        <v>52</v>
      </c>
      <c r="C94" s="3">
        <v>8</v>
      </c>
      <c r="D94" t="s">
        <v>53</v>
      </c>
      <c r="E94" t="s">
        <v>221</v>
      </c>
      <c r="F94" s="5" t="s">
        <v>234</v>
      </c>
    </row>
    <row r="95" spans="1:6" ht="15.6" hidden="1">
      <c r="A95" s="2" t="s">
        <v>212</v>
      </c>
      <c r="B95" t="s">
        <v>55</v>
      </c>
      <c r="C95" s="3">
        <v>128</v>
      </c>
      <c r="D95" t="s">
        <v>53</v>
      </c>
      <c r="E95" t="s">
        <v>221</v>
      </c>
      <c r="F95" s="5" t="s">
        <v>235</v>
      </c>
    </row>
    <row r="96" spans="1:6" ht="15.6" hidden="1">
      <c r="A96" s="2" t="s">
        <v>213</v>
      </c>
      <c r="B96" t="s">
        <v>55</v>
      </c>
      <c r="C96" s="3">
        <v>1</v>
      </c>
      <c r="D96" t="s">
        <v>56</v>
      </c>
      <c r="E96" t="s">
        <v>221</v>
      </c>
      <c r="F96" s="5" t="s">
        <v>236</v>
      </c>
    </row>
    <row r="97" spans="1:6" ht="15.6" hidden="1">
      <c r="A97" s="2" t="s">
        <v>214</v>
      </c>
      <c r="B97" t="s">
        <v>55</v>
      </c>
      <c r="C97" s="3">
        <v>128</v>
      </c>
      <c r="D97" t="s">
        <v>53</v>
      </c>
      <c r="E97" t="s">
        <v>221</v>
      </c>
      <c r="F97" s="5" t="s">
        <v>233</v>
      </c>
    </row>
    <row r="98" spans="1:6" ht="15.6" hidden="1">
      <c r="A98" s="2" t="s">
        <v>206</v>
      </c>
      <c r="B98" t="s">
        <v>55</v>
      </c>
      <c r="C98" s="3">
        <v>128</v>
      </c>
      <c r="D98" t="s">
        <v>53</v>
      </c>
      <c r="E98" t="s">
        <v>195</v>
      </c>
      <c r="F98" s="5">
        <v>4</v>
      </c>
    </row>
    <row r="99" spans="1:6" ht="15.6" hidden="1">
      <c r="A99" s="2" t="s">
        <v>215</v>
      </c>
      <c r="B99" t="s">
        <v>55</v>
      </c>
      <c r="C99" s="3">
        <v>128</v>
      </c>
      <c r="D99" t="s">
        <v>53</v>
      </c>
      <c r="E99" t="s">
        <v>221</v>
      </c>
      <c r="F99" s="5" t="s">
        <v>229</v>
      </c>
    </row>
    <row r="100" spans="1:6" ht="15.6">
      <c r="A100" s="596" t="s">
        <v>737</v>
      </c>
      <c r="B100" s="596" t="s">
        <v>737</v>
      </c>
      <c r="C100" s="597">
        <v>0</v>
      </c>
      <c r="D100" s="596" t="s">
        <v>737</v>
      </c>
      <c r="E100" s="596" t="s">
        <v>737</v>
      </c>
      <c r="F100" s="597">
        <v>0</v>
      </c>
    </row>
    <row r="101" spans="1:6" ht="15.6">
      <c r="A101" s="596" t="s">
        <v>737</v>
      </c>
      <c r="B101" s="596" t="s">
        <v>737</v>
      </c>
      <c r="C101" s="597">
        <v>0</v>
      </c>
      <c r="D101" s="596" t="s">
        <v>737</v>
      </c>
      <c r="E101" s="596" t="s">
        <v>737</v>
      </c>
      <c r="F101" s="597">
        <v>0</v>
      </c>
    </row>
    <row r="102" spans="1:6" ht="15.6">
      <c r="A102" s="596" t="s">
        <v>737</v>
      </c>
      <c r="B102" s="596" t="s">
        <v>737</v>
      </c>
      <c r="C102" s="597">
        <v>0</v>
      </c>
      <c r="D102" s="596" t="s">
        <v>737</v>
      </c>
      <c r="E102" s="596" t="s">
        <v>737</v>
      </c>
      <c r="F102" s="597">
        <v>0</v>
      </c>
    </row>
    <row r="103" spans="1:6" ht="15.6">
      <c r="A103" s="596" t="s">
        <v>737</v>
      </c>
      <c r="B103" s="596" t="s">
        <v>737</v>
      </c>
      <c r="C103" s="597">
        <v>0</v>
      </c>
      <c r="D103" s="596" t="s">
        <v>737</v>
      </c>
      <c r="E103" s="596" t="s">
        <v>737</v>
      </c>
      <c r="F103" s="597">
        <v>0</v>
      </c>
    </row>
    <row r="104" spans="1:6" ht="15.6">
      <c r="A104" s="596" t="s">
        <v>737</v>
      </c>
      <c r="B104" s="596" t="s">
        <v>737</v>
      </c>
      <c r="C104" s="597">
        <v>0</v>
      </c>
      <c r="D104" s="596" t="s">
        <v>737</v>
      </c>
      <c r="E104" s="596" t="s">
        <v>737</v>
      </c>
      <c r="F104" s="597">
        <v>0</v>
      </c>
    </row>
    <row r="105" spans="1:6" ht="15.6">
      <c r="A105" s="596" t="s">
        <v>737</v>
      </c>
      <c r="B105" s="596" t="s">
        <v>737</v>
      </c>
      <c r="C105" s="597">
        <v>0</v>
      </c>
      <c r="D105" s="596" t="s">
        <v>737</v>
      </c>
      <c r="E105" s="596" t="s">
        <v>737</v>
      </c>
      <c r="F105" s="597">
        <v>0</v>
      </c>
    </row>
    <row r="106" spans="1:6" ht="15.6">
      <c r="A106" s="596" t="s">
        <v>737</v>
      </c>
      <c r="B106" s="596" t="s">
        <v>737</v>
      </c>
      <c r="C106" s="597">
        <v>0</v>
      </c>
      <c r="D106" s="596" t="s">
        <v>737</v>
      </c>
      <c r="E106" s="596" t="s">
        <v>737</v>
      </c>
      <c r="F106" s="597">
        <v>0</v>
      </c>
    </row>
    <row r="107" spans="1:6" ht="15.6">
      <c r="A107" s="596" t="s">
        <v>737</v>
      </c>
      <c r="B107" s="596" t="s">
        <v>737</v>
      </c>
      <c r="C107" s="597">
        <v>0</v>
      </c>
      <c r="D107" s="596" t="s">
        <v>737</v>
      </c>
      <c r="E107" s="596" t="s">
        <v>737</v>
      </c>
      <c r="F107" s="597">
        <v>0</v>
      </c>
    </row>
    <row r="108" spans="1:6" ht="15.6">
      <c r="A108" s="2"/>
      <c r="C108" s="3"/>
    </row>
    <row r="109" spans="1:6" ht="21">
      <c r="A109" s="909" t="s">
        <v>150</v>
      </c>
      <c r="B109" s="909"/>
      <c r="C109" s="909"/>
      <c r="D109" s="909"/>
    </row>
    <row r="110" spans="1:6" ht="15" customHeight="1">
      <c r="A110" s="605" t="s">
        <v>46</v>
      </c>
      <c r="B110" s="599" t="s">
        <v>49</v>
      </c>
      <c r="C110" s="599" t="s">
        <v>48</v>
      </c>
      <c r="D110" s="599" t="s">
        <v>47</v>
      </c>
    </row>
    <row r="111" spans="1:6" hidden="1">
      <c r="A111" t="s">
        <v>13</v>
      </c>
      <c r="C111">
        <v>1</v>
      </c>
      <c r="D111" t="s">
        <v>13</v>
      </c>
    </row>
    <row r="112" spans="1:6" ht="15.6">
      <c r="A112" s="2" t="s">
        <v>73</v>
      </c>
      <c r="B112" t="s">
        <v>58</v>
      </c>
      <c r="C112" s="3">
        <v>1</v>
      </c>
      <c r="D112" t="s">
        <v>29</v>
      </c>
    </row>
    <row r="113" spans="1:4" ht="15.6">
      <c r="A113" s="2" t="s">
        <v>151</v>
      </c>
      <c r="B113" t="s">
        <v>52</v>
      </c>
      <c r="C113" s="3">
        <v>8</v>
      </c>
      <c r="D113" t="s">
        <v>53</v>
      </c>
    </row>
    <row r="114" spans="1:4" ht="15.6" hidden="1">
      <c r="A114" s="2" t="s">
        <v>152</v>
      </c>
      <c r="B114" t="s">
        <v>52</v>
      </c>
      <c r="C114" s="3">
        <v>8</v>
      </c>
      <c r="D114" t="s">
        <v>53</v>
      </c>
    </row>
    <row r="115" spans="1:4" ht="15.6" hidden="1">
      <c r="A115" s="2" t="s">
        <v>154</v>
      </c>
      <c r="B115" t="s">
        <v>52</v>
      </c>
      <c r="C115" s="3">
        <v>8</v>
      </c>
      <c r="D115" t="s">
        <v>53</v>
      </c>
    </row>
    <row r="116" spans="1:4" ht="15.6" hidden="1">
      <c r="A116" s="2" t="s">
        <v>155</v>
      </c>
      <c r="B116" t="s">
        <v>55</v>
      </c>
      <c r="C116" s="3">
        <v>128</v>
      </c>
      <c r="D116" t="s">
        <v>53</v>
      </c>
    </row>
    <row r="117" spans="1:4" ht="15.6" hidden="1">
      <c r="A117" s="2" t="s">
        <v>153</v>
      </c>
      <c r="B117" t="s">
        <v>50</v>
      </c>
      <c r="C117" s="3">
        <v>4</v>
      </c>
      <c r="D117" t="s">
        <v>53</v>
      </c>
    </row>
    <row r="118" spans="1:4" ht="15.6">
      <c r="A118" s="596" t="s">
        <v>737</v>
      </c>
      <c r="B118" s="596" t="s">
        <v>737</v>
      </c>
      <c r="C118" s="604">
        <v>0</v>
      </c>
      <c r="D118" s="596" t="s">
        <v>737</v>
      </c>
    </row>
    <row r="119" spans="1:4" ht="15.6">
      <c r="A119" s="596" t="s">
        <v>737</v>
      </c>
      <c r="B119" s="596" t="s">
        <v>737</v>
      </c>
      <c r="C119" s="604">
        <v>0</v>
      </c>
      <c r="D119" s="596" t="s">
        <v>737</v>
      </c>
    </row>
    <row r="120" spans="1:4" ht="15.6">
      <c r="A120" s="596" t="s">
        <v>737</v>
      </c>
      <c r="B120" s="596" t="s">
        <v>737</v>
      </c>
      <c r="C120" s="604">
        <v>0</v>
      </c>
      <c r="D120" s="596" t="s">
        <v>737</v>
      </c>
    </row>
    <row r="121" spans="1:4" ht="15.6">
      <c r="A121" s="596" t="s">
        <v>737</v>
      </c>
      <c r="B121" s="596" t="s">
        <v>737</v>
      </c>
      <c r="C121" s="604">
        <v>0</v>
      </c>
      <c r="D121" s="596" t="s">
        <v>737</v>
      </c>
    </row>
    <row r="122" spans="1:4" ht="15.6">
      <c r="A122" s="596" t="s">
        <v>737</v>
      </c>
      <c r="B122" s="596" t="s">
        <v>737</v>
      </c>
      <c r="C122" s="604">
        <v>0</v>
      </c>
      <c r="D122" s="596" t="s">
        <v>737</v>
      </c>
    </row>
    <row r="123" spans="1:4" ht="15.6">
      <c r="A123" s="596" t="s">
        <v>737</v>
      </c>
      <c r="B123" s="596" t="s">
        <v>737</v>
      </c>
      <c r="C123" s="604">
        <v>0</v>
      </c>
      <c r="D123" s="596" t="s">
        <v>737</v>
      </c>
    </row>
    <row r="124" spans="1:4" ht="15.6">
      <c r="A124" s="2"/>
      <c r="C124" s="3"/>
    </row>
    <row r="126" spans="1:4" ht="21">
      <c r="A126" s="909" t="s">
        <v>450</v>
      </c>
      <c r="B126" s="909"/>
      <c r="C126" s="909"/>
      <c r="D126" s="909"/>
    </row>
    <row r="127" spans="1:4">
      <c r="A127" s="605" t="s">
        <v>46</v>
      </c>
      <c r="B127" s="599" t="s">
        <v>49</v>
      </c>
      <c r="C127" s="599" t="s">
        <v>48</v>
      </c>
      <c r="D127" s="599" t="s">
        <v>47</v>
      </c>
    </row>
    <row r="128" spans="1:4" ht="15.6" hidden="1">
      <c r="A128" s="2" t="s">
        <v>13</v>
      </c>
      <c r="C128" s="3">
        <v>1</v>
      </c>
      <c r="D128" t="s">
        <v>13</v>
      </c>
    </row>
    <row r="129" spans="1:5" hidden="1">
      <c r="A129" t="s">
        <v>461</v>
      </c>
      <c r="B129" t="s">
        <v>55</v>
      </c>
      <c r="C129" s="3">
        <v>128</v>
      </c>
      <c r="D129" t="s">
        <v>24</v>
      </c>
      <c r="E129" s="1"/>
    </row>
    <row r="130" spans="1:5" hidden="1">
      <c r="A130" t="s">
        <v>453</v>
      </c>
      <c r="B130" t="s">
        <v>55</v>
      </c>
      <c r="C130" s="3">
        <v>128</v>
      </c>
      <c r="D130" t="s">
        <v>24</v>
      </c>
      <c r="E130" s="1"/>
    </row>
    <row r="131" spans="1:5" hidden="1">
      <c r="A131" t="s">
        <v>456</v>
      </c>
      <c r="B131" t="s">
        <v>55</v>
      </c>
      <c r="C131" s="3">
        <v>128</v>
      </c>
      <c r="D131" t="s">
        <v>24</v>
      </c>
      <c r="E131" s="1"/>
    </row>
    <row r="132" spans="1:5" hidden="1">
      <c r="A132" t="s">
        <v>454</v>
      </c>
      <c r="B132" t="s">
        <v>55</v>
      </c>
      <c r="C132" s="3">
        <v>128</v>
      </c>
      <c r="D132" t="s">
        <v>24</v>
      </c>
      <c r="E132" s="1"/>
    </row>
    <row r="133" spans="1:5" hidden="1">
      <c r="A133" t="s">
        <v>437</v>
      </c>
      <c r="B133" t="s">
        <v>55</v>
      </c>
      <c r="C133" s="3">
        <v>128</v>
      </c>
      <c r="D133" t="s">
        <v>24</v>
      </c>
      <c r="E133" s="1"/>
    </row>
    <row r="134" spans="1:5" hidden="1">
      <c r="A134" t="s">
        <v>457</v>
      </c>
      <c r="B134" t="s">
        <v>55</v>
      </c>
      <c r="C134" s="3">
        <v>128</v>
      </c>
      <c r="D134" t="s">
        <v>24</v>
      </c>
      <c r="E134" s="1"/>
    </row>
    <row r="135" spans="1:5" hidden="1">
      <c r="A135" t="s">
        <v>452</v>
      </c>
      <c r="B135" t="s">
        <v>55</v>
      </c>
      <c r="C135" s="3">
        <v>128</v>
      </c>
      <c r="D135" t="s">
        <v>24</v>
      </c>
      <c r="E135" s="1"/>
    </row>
    <row r="136" spans="1:5" hidden="1">
      <c r="A136" t="s">
        <v>459</v>
      </c>
      <c r="B136" t="s">
        <v>55</v>
      </c>
      <c r="C136" s="3">
        <v>128</v>
      </c>
      <c r="D136" t="s">
        <v>24</v>
      </c>
      <c r="E136" s="1"/>
    </row>
    <row r="137" spans="1:5" hidden="1">
      <c r="A137" t="s">
        <v>458</v>
      </c>
      <c r="B137" t="s">
        <v>55</v>
      </c>
      <c r="C137" s="3">
        <v>128</v>
      </c>
      <c r="D137" t="s">
        <v>24</v>
      </c>
      <c r="E137" s="1"/>
    </row>
    <row r="138" spans="1:5" hidden="1">
      <c r="A138" t="s">
        <v>438</v>
      </c>
      <c r="B138" t="s">
        <v>55</v>
      </c>
      <c r="C138" s="3">
        <v>128</v>
      </c>
      <c r="D138" t="s">
        <v>24</v>
      </c>
      <c r="E138" s="1"/>
    </row>
    <row r="139" spans="1:5" hidden="1">
      <c r="A139" t="s">
        <v>451</v>
      </c>
      <c r="B139" t="s">
        <v>55</v>
      </c>
      <c r="C139" s="3">
        <v>128</v>
      </c>
      <c r="D139" t="s">
        <v>24</v>
      </c>
      <c r="E139" s="1"/>
    </row>
    <row r="140" spans="1:5" hidden="1">
      <c r="A140" t="s">
        <v>446</v>
      </c>
      <c r="B140" t="s">
        <v>55</v>
      </c>
      <c r="C140" s="3">
        <v>128</v>
      </c>
      <c r="D140" t="s">
        <v>24</v>
      </c>
      <c r="E140" s="1"/>
    </row>
    <row r="141" spans="1:5" hidden="1">
      <c r="A141" t="s">
        <v>460</v>
      </c>
      <c r="B141" t="s">
        <v>55</v>
      </c>
      <c r="C141" s="3">
        <v>128</v>
      </c>
      <c r="D141" t="s">
        <v>24</v>
      </c>
      <c r="E141" s="1"/>
    </row>
    <row r="142" spans="1:5" hidden="1">
      <c r="A142" t="s">
        <v>440</v>
      </c>
      <c r="B142" t="s">
        <v>55</v>
      </c>
      <c r="C142" s="3">
        <v>128</v>
      </c>
      <c r="D142" t="s">
        <v>24</v>
      </c>
      <c r="E142" s="1"/>
    </row>
    <row r="143" spans="1:5" hidden="1">
      <c r="A143" t="s">
        <v>455</v>
      </c>
      <c r="B143" t="s">
        <v>55</v>
      </c>
      <c r="C143" s="3">
        <v>128</v>
      </c>
      <c r="D143" t="s">
        <v>24</v>
      </c>
      <c r="E143" s="1"/>
    </row>
    <row r="144" spans="1:5" ht="15.6">
      <c r="A144" s="596" t="s">
        <v>737</v>
      </c>
      <c r="B144" s="596" t="s">
        <v>737</v>
      </c>
      <c r="C144" s="604">
        <v>0</v>
      </c>
      <c r="D144" s="596" t="s">
        <v>737</v>
      </c>
      <c r="E144" s="1"/>
    </row>
    <row r="145" spans="1:5" ht="15.6">
      <c r="A145" s="596" t="s">
        <v>737</v>
      </c>
      <c r="B145" s="596" t="s">
        <v>737</v>
      </c>
      <c r="C145" s="604">
        <v>0</v>
      </c>
      <c r="D145" s="596" t="s">
        <v>737</v>
      </c>
      <c r="E145" s="1"/>
    </row>
    <row r="146" spans="1:5" ht="15.6">
      <c r="A146" s="596" t="s">
        <v>737</v>
      </c>
      <c r="B146" s="596" t="s">
        <v>737</v>
      </c>
      <c r="C146" s="604">
        <v>0</v>
      </c>
      <c r="D146" s="596" t="s">
        <v>737</v>
      </c>
      <c r="E146" s="1"/>
    </row>
    <row r="147" spans="1:5" ht="15.6">
      <c r="A147" s="596" t="s">
        <v>737</v>
      </c>
      <c r="B147" s="596" t="s">
        <v>737</v>
      </c>
      <c r="C147" s="604">
        <v>0</v>
      </c>
      <c r="D147" s="596" t="s">
        <v>737</v>
      </c>
      <c r="E147" s="1"/>
    </row>
    <row r="148" spans="1:5" ht="15.6">
      <c r="A148" s="596" t="s">
        <v>737</v>
      </c>
      <c r="B148" s="596" t="s">
        <v>737</v>
      </c>
      <c r="C148" s="604">
        <v>0</v>
      </c>
      <c r="D148" s="596" t="s">
        <v>737</v>
      </c>
      <c r="E148" s="1"/>
    </row>
    <row r="149" spans="1:5" ht="15.6">
      <c r="A149" s="596" t="s">
        <v>737</v>
      </c>
      <c r="B149" s="596" t="s">
        <v>737</v>
      </c>
      <c r="C149" s="604">
        <v>0</v>
      </c>
      <c r="D149" s="596" t="s">
        <v>737</v>
      </c>
      <c r="E149" s="1"/>
    </row>
    <row r="151" spans="1:5">
      <c r="E151" s="1"/>
    </row>
    <row r="152" spans="1:5" ht="21">
      <c r="A152" s="909" t="s">
        <v>161</v>
      </c>
      <c r="B152" s="909"/>
      <c r="C152" s="909"/>
      <c r="D152" s="909"/>
      <c r="E152" s="1"/>
    </row>
    <row r="153" spans="1:5" ht="15.6" hidden="1">
      <c r="A153" s="2" t="s">
        <v>13</v>
      </c>
      <c r="C153" s="3">
        <v>1</v>
      </c>
      <c r="D153" t="s">
        <v>13</v>
      </c>
      <c r="E153" s="1"/>
    </row>
    <row r="154" spans="1:5" hidden="1">
      <c r="A154" t="s">
        <v>162</v>
      </c>
      <c r="B154" t="s">
        <v>52</v>
      </c>
      <c r="C154" s="3">
        <v>8</v>
      </c>
      <c r="D154" t="s">
        <v>53</v>
      </c>
      <c r="E154" s="1"/>
    </row>
    <row r="155" spans="1:5" hidden="1">
      <c r="A155" t="s">
        <v>163</v>
      </c>
      <c r="B155" t="s">
        <v>55</v>
      </c>
      <c r="C155" s="3">
        <v>1</v>
      </c>
      <c r="D155" t="s">
        <v>53</v>
      </c>
    </row>
    <row r="156" spans="1:5" hidden="1">
      <c r="A156" t="s">
        <v>164</v>
      </c>
      <c r="B156" t="s">
        <v>58</v>
      </c>
      <c r="C156" s="3">
        <v>1</v>
      </c>
      <c r="D156" t="s">
        <v>29</v>
      </c>
    </row>
    <row r="157" spans="1:5" hidden="1">
      <c r="A157" t="s">
        <v>165</v>
      </c>
      <c r="B157" t="s">
        <v>50</v>
      </c>
      <c r="C157" s="3">
        <v>4</v>
      </c>
      <c r="D157" t="s">
        <v>53</v>
      </c>
    </row>
    <row r="158" spans="1:5" hidden="1"/>
    <row r="159" spans="1:5">
      <c r="A159" s="605" t="s">
        <v>46</v>
      </c>
      <c r="B159" s="599" t="s">
        <v>49</v>
      </c>
      <c r="C159" s="599" t="s">
        <v>48</v>
      </c>
      <c r="D159" s="599" t="s">
        <v>47</v>
      </c>
    </row>
    <row r="160" spans="1:5" ht="15.6" hidden="1">
      <c r="A160" s="2" t="s">
        <v>13</v>
      </c>
      <c r="C160" s="3">
        <v>1</v>
      </c>
      <c r="D160" t="s">
        <v>13</v>
      </c>
    </row>
    <row r="161" spans="1:6" ht="15.6" hidden="1">
      <c r="A161" s="2" t="s">
        <v>969</v>
      </c>
      <c r="B161" s="2" t="s">
        <v>58</v>
      </c>
      <c r="C161" s="784">
        <v>1</v>
      </c>
      <c r="D161" s="2" t="s">
        <v>29</v>
      </c>
      <c r="E161" s="2" t="s">
        <v>864</v>
      </c>
      <c r="F161" s="785" t="s">
        <v>865</v>
      </c>
    </row>
    <row r="162" spans="1:6" ht="15.6" hidden="1">
      <c r="A162" s="2" t="s">
        <v>866</v>
      </c>
      <c r="B162" s="2" t="s">
        <v>55</v>
      </c>
      <c r="C162" s="784">
        <v>128</v>
      </c>
      <c r="D162" s="2" t="s">
        <v>53</v>
      </c>
      <c r="E162" s="2" t="s">
        <v>867</v>
      </c>
      <c r="F162" s="2" t="s">
        <v>868</v>
      </c>
    </row>
    <row r="163" spans="1:6" ht="15.6" hidden="1">
      <c r="A163" s="2" t="s">
        <v>869</v>
      </c>
      <c r="B163" s="2" t="s">
        <v>52</v>
      </c>
      <c r="C163" s="784">
        <v>8</v>
      </c>
      <c r="D163" s="2" t="s">
        <v>53</v>
      </c>
      <c r="E163" s="2" t="s">
        <v>864</v>
      </c>
      <c r="F163" s="785" t="s">
        <v>870</v>
      </c>
    </row>
    <row r="164" spans="1:6" ht="15.6" hidden="1">
      <c r="A164" s="2" t="s">
        <v>871</v>
      </c>
      <c r="B164" s="2" t="s">
        <v>52</v>
      </c>
      <c r="C164" s="784">
        <v>8</v>
      </c>
      <c r="D164" s="2" t="s">
        <v>53</v>
      </c>
      <c r="E164" s="2" t="s">
        <v>864</v>
      </c>
      <c r="F164" s="785" t="s">
        <v>870</v>
      </c>
    </row>
    <row r="165" spans="1:6" ht="15.6" hidden="1">
      <c r="A165" s="2" t="s">
        <v>872</v>
      </c>
      <c r="B165" s="2" t="s">
        <v>55</v>
      </c>
      <c r="C165" s="784">
        <v>128</v>
      </c>
      <c r="D165" s="2" t="s">
        <v>53</v>
      </c>
      <c r="E165" s="2" t="s">
        <v>864</v>
      </c>
      <c r="F165" s="785" t="s">
        <v>873</v>
      </c>
    </row>
    <row r="166" spans="1:6" ht="15.6" hidden="1">
      <c r="A166" s="2" t="s">
        <v>483</v>
      </c>
      <c r="B166" s="2" t="s">
        <v>55</v>
      </c>
      <c r="C166" s="784">
        <v>128</v>
      </c>
      <c r="D166" s="2" t="s">
        <v>53</v>
      </c>
      <c r="E166" s="2" t="s">
        <v>864</v>
      </c>
      <c r="F166" s="785" t="s">
        <v>874</v>
      </c>
    </row>
    <row r="167" spans="1:6" ht="15.6" hidden="1">
      <c r="A167" s="2" t="s">
        <v>875</v>
      </c>
      <c r="B167" s="2" t="s">
        <v>58</v>
      </c>
      <c r="C167" s="784">
        <v>1</v>
      </c>
      <c r="D167" s="2" t="s">
        <v>29</v>
      </c>
      <c r="E167" s="2" t="s">
        <v>876</v>
      </c>
      <c r="F167" s="2" t="s">
        <v>877</v>
      </c>
    </row>
    <row r="168" spans="1:6" ht="15.6" hidden="1">
      <c r="A168" s="2" t="s">
        <v>484</v>
      </c>
      <c r="B168" s="2" t="s">
        <v>55</v>
      </c>
      <c r="C168" s="784">
        <v>128</v>
      </c>
      <c r="D168" s="2" t="s">
        <v>53</v>
      </c>
      <c r="E168" s="2" t="s">
        <v>867</v>
      </c>
      <c r="F168" s="2" t="s">
        <v>878</v>
      </c>
    </row>
    <row r="169" spans="1:6" ht="15.6" hidden="1">
      <c r="A169" s="2" t="s">
        <v>879</v>
      </c>
      <c r="B169" s="2" t="s">
        <v>55</v>
      </c>
      <c r="C169" s="784">
        <v>128</v>
      </c>
      <c r="D169" s="2" t="s">
        <v>53</v>
      </c>
      <c r="E169" s="2" t="s">
        <v>864</v>
      </c>
      <c r="F169" s="785" t="s">
        <v>880</v>
      </c>
    </row>
    <row r="170" spans="1:6" ht="15.6" hidden="1">
      <c r="A170" s="2" t="s">
        <v>881</v>
      </c>
      <c r="B170" s="2" t="s">
        <v>55</v>
      </c>
      <c r="C170" s="784">
        <v>128</v>
      </c>
      <c r="D170" s="2" t="s">
        <v>53</v>
      </c>
      <c r="E170" s="2" t="s">
        <v>867</v>
      </c>
      <c r="F170" s="2" t="s">
        <v>868</v>
      </c>
    </row>
    <row r="171" spans="1:6" ht="15.6" hidden="1">
      <c r="A171" s="2" t="s">
        <v>882</v>
      </c>
      <c r="B171" s="2" t="s">
        <v>55</v>
      </c>
      <c r="C171" s="784">
        <v>128</v>
      </c>
      <c r="D171" s="2" t="s">
        <v>53</v>
      </c>
      <c r="E171" s="2" t="s">
        <v>867</v>
      </c>
      <c r="F171" s="2" t="s">
        <v>868</v>
      </c>
    </row>
    <row r="172" spans="1:6" ht="15.6" hidden="1">
      <c r="A172" s="2" t="s">
        <v>883</v>
      </c>
      <c r="B172" s="2" t="s">
        <v>58</v>
      </c>
      <c r="C172" s="784">
        <v>1</v>
      </c>
      <c r="D172" s="2" t="s">
        <v>29</v>
      </c>
      <c r="E172" s="2" t="s">
        <v>864</v>
      </c>
      <c r="F172" s="785" t="s">
        <v>865</v>
      </c>
    </row>
    <row r="173" spans="1:6" ht="15.6" hidden="1">
      <c r="A173" s="2" t="s">
        <v>884</v>
      </c>
      <c r="B173" s="2" t="s">
        <v>55</v>
      </c>
      <c r="C173" s="784">
        <v>128</v>
      </c>
      <c r="D173" s="2" t="s">
        <v>53</v>
      </c>
      <c r="E173" s="2" t="s">
        <v>864</v>
      </c>
      <c r="F173" s="785" t="s">
        <v>885</v>
      </c>
    </row>
    <row r="174" spans="1:6" ht="15.6" hidden="1">
      <c r="A174" s="2" t="s">
        <v>485</v>
      </c>
      <c r="B174" s="2" t="s">
        <v>55</v>
      </c>
      <c r="C174" s="784">
        <v>128</v>
      </c>
      <c r="D174" s="2" t="s">
        <v>53</v>
      </c>
      <c r="E174" s="2" t="s">
        <v>867</v>
      </c>
      <c r="F174" s="2" t="s">
        <v>868</v>
      </c>
    </row>
    <row r="175" spans="1:6" ht="15.6" hidden="1">
      <c r="A175" s="2" t="s">
        <v>886</v>
      </c>
      <c r="B175" s="2" t="s">
        <v>55</v>
      </c>
      <c r="C175" s="784">
        <v>128</v>
      </c>
      <c r="D175" s="2" t="s">
        <v>53</v>
      </c>
      <c r="E175" s="2" t="s">
        <v>867</v>
      </c>
      <c r="F175" s="2" t="s">
        <v>868</v>
      </c>
    </row>
    <row r="176" spans="1:6" ht="15.6" hidden="1">
      <c r="A176" s="2" t="s">
        <v>486</v>
      </c>
      <c r="B176" s="2" t="s">
        <v>50</v>
      </c>
      <c r="C176" s="784">
        <v>4</v>
      </c>
      <c r="D176" s="2" t="s">
        <v>53</v>
      </c>
      <c r="E176" s="2" t="s">
        <v>864</v>
      </c>
      <c r="F176" s="785" t="s">
        <v>887</v>
      </c>
    </row>
    <row r="177" spans="1:6" ht="15.6" hidden="1">
      <c r="A177" s="2" t="s">
        <v>888</v>
      </c>
      <c r="B177" s="2" t="s">
        <v>55</v>
      </c>
      <c r="C177" s="784">
        <v>128</v>
      </c>
      <c r="D177" s="2" t="s">
        <v>53</v>
      </c>
      <c r="E177" s="2" t="s">
        <v>864</v>
      </c>
      <c r="F177" s="785" t="s">
        <v>889</v>
      </c>
    </row>
    <row r="178" spans="1:6" ht="15.6" hidden="1">
      <c r="A178" s="2" t="s">
        <v>890</v>
      </c>
      <c r="B178" s="2" t="s">
        <v>52</v>
      </c>
      <c r="C178" s="784">
        <v>8</v>
      </c>
      <c r="D178" s="2" t="s">
        <v>53</v>
      </c>
      <c r="E178" s="2" t="s">
        <v>864</v>
      </c>
      <c r="F178" s="785" t="s">
        <v>870</v>
      </c>
    </row>
    <row r="179" spans="1:6" ht="15.6" hidden="1">
      <c r="A179" s="2" t="s">
        <v>891</v>
      </c>
      <c r="B179" s="2" t="s">
        <v>58</v>
      </c>
      <c r="C179" s="784">
        <v>1</v>
      </c>
      <c r="D179" s="2" t="s">
        <v>29</v>
      </c>
      <c r="E179" s="2" t="s">
        <v>876</v>
      </c>
      <c r="F179" s="2" t="s">
        <v>892</v>
      </c>
    </row>
    <row r="180" spans="1:6" ht="15.6" hidden="1">
      <c r="A180" s="2" t="s">
        <v>893</v>
      </c>
      <c r="B180" s="2" t="s">
        <v>58</v>
      </c>
      <c r="C180" s="784">
        <v>1</v>
      </c>
      <c r="D180" s="2" t="s">
        <v>29</v>
      </c>
      <c r="E180" s="2" t="s">
        <v>876</v>
      </c>
      <c r="F180" s="2" t="s">
        <v>894</v>
      </c>
    </row>
    <row r="181" spans="1:6" ht="15.6" hidden="1">
      <c r="A181" s="2" t="s">
        <v>895</v>
      </c>
      <c r="B181" s="2" t="s">
        <v>55</v>
      </c>
      <c r="C181" s="784">
        <v>128</v>
      </c>
      <c r="D181" s="2" t="s">
        <v>53</v>
      </c>
      <c r="E181" s="2" t="s">
        <v>864</v>
      </c>
      <c r="F181" s="785" t="s">
        <v>896</v>
      </c>
    </row>
    <row r="182" spans="1:6" ht="15.6" hidden="1">
      <c r="A182" s="2" t="s">
        <v>897</v>
      </c>
      <c r="B182" s="2" t="s">
        <v>58</v>
      </c>
      <c r="C182" s="784">
        <v>1</v>
      </c>
      <c r="D182" s="2" t="s">
        <v>29</v>
      </c>
      <c r="E182" s="2" t="s">
        <v>876</v>
      </c>
      <c r="F182" s="2" t="s">
        <v>877</v>
      </c>
    </row>
    <row r="183" spans="1:6" ht="15.6" hidden="1">
      <c r="A183" s="2" t="s">
        <v>898</v>
      </c>
      <c r="B183" s="2" t="s">
        <v>55</v>
      </c>
      <c r="C183" s="784">
        <v>128</v>
      </c>
      <c r="D183" s="2" t="s">
        <v>53</v>
      </c>
      <c r="E183" s="2" t="s">
        <v>864</v>
      </c>
      <c r="F183" s="785" t="s">
        <v>899</v>
      </c>
    </row>
    <row r="184" spans="1:6" ht="15.6" hidden="1">
      <c r="A184" s="2" t="s">
        <v>900</v>
      </c>
      <c r="B184" s="2" t="s">
        <v>52</v>
      </c>
      <c r="C184" s="784">
        <v>8</v>
      </c>
      <c r="D184" s="2" t="s">
        <v>53</v>
      </c>
      <c r="E184" s="2" t="s">
        <v>864</v>
      </c>
      <c r="F184" s="785" t="s">
        <v>901</v>
      </c>
    </row>
    <row r="185" spans="1:6" ht="15.6" hidden="1">
      <c r="A185" s="2" t="s">
        <v>902</v>
      </c>
      <c r="B185" s="2" t="s">
        <v>58</v>
      </c>
      <c r="C185" s="784">
        <v>1</v>
      </c>
      <c r="D185" s="2" t="s">
        <v>29</v>
      </c>
      <c r="E185" s="2" t="s">
        <v>864</v>
      </c>
      <c r="F185" s="785" t="s">
        <v>865</v>
      </c>
    </row>
    <row r="186" spans="1:6" ht="15.6" hidden="1">
      <c r="A186" s="2" t="s">
        <v>903</v>
      </c>
      <c r="B186" s="2" t="s">
        <v>55</v>
      </c>
      <c r="C186" s="784">
        <v>128</v>
      </c>
      <c r="D186" s="2" t="s">
        <v>53</v>
      </c>
      <c r="E186" s="2" t="s">
        <v>867</v>
      </c>
      <c r="F186" s="2" t="s">
        <v>868</v>
      </c>
    </row>
    <row r="187" spans="1:6" ht="15.6" hidden="1">
      <c r="A187" s="2" t="s">
        <v>904</v>
      </c>
      <c r="B187" s="2" t="s">
        <v>55</v>
      </c>
      <c r="C187" s="784">
        <v>16</v>
      </c>
      <c r="D187" s="2" t="s">
        <v>29</v>
      </c>
      <c r="E187" s="2" t="s">
        <v>876</v>
      </c>
      <c r="F187" s="2" t="s">
        <v>905</v>
      </c>
    </row>
    <row r="188" spans="1:6" ht="15.6" hidden="1">
      <c r="A188" s="2" t="s">
        <v>906</v>
      </c>
      <c r="B188" s="2" t="s">
        <v>55</v>
      </c>
      <c r="C188" s="784">
        <v>128</v>
      </c>
      <c r="D188" s="2" t="s">
        <v>53</v>
      </c>
      <c r="E188" s="2" t="s">
        <v>864</v>
      </c>
      <c r="F188" s="785" t="s">
        <v>907</v>
      </c>
    </row>
    <row r="189" spans="1:6" ht="15.6" hidden="1">
      <c r="A189" s="2" t="s">
        <v>908</v>
      </c>
      <c r="B189" s="2" t="s">
        <v>55</v>
      </c>
      <c r="C189" s="784">
        <v>128</v>
      </c>
      <c r="D189" s="2" t="s">
        <v>53</v>
      </c>
      <c r="E189" s="2" t="s">
        <v>867</v>
      </c>
      <c r="F189" s="2" t="s">
        <v>868</v>
      </c>
    </row>
    <row r="190" spans="1:6" ht="15.6" hidden="1">
      <c r="A190" s="2" t="s">
        <v>909</v>
      </c>
      <c r="B190" s="2" t="s">
        <v>55</v>
      </c>
      <c r="C190" s="784">
        <v>128</v>
      </c>
      <c r="D190" s="2" t="s">
        <v>53</v>
      </c>
      <c r="E190" s="2" t="s">
        <v>864</v>
      </c>
      <c r="F190" s="785" t="s">
        <v>910</v>
      </c>
    </row>
    <row r="191" spans="1:6" ht="15.6" hidden="1">
      <c r="A191" s="2" t="s">
        <v>911</v>
      </c>
      <c r="B191" s="2" t="s">
        <v>58</v>
      </c>
      <c r="C191" s="784">
        <v>1</v>
      </c>
      <c r="D191" s="2" t="s">
        <v>29</v>
      </c>
      <c r="E191" s="2" t="s">
        <v>876</v>
      </c>
      <c r="F191" s="2" t="s">
        <v>912</v>
      </c>
    </row>
    <row r="192" spans="1:6" ht="15.6" hidden="1">
      <c r="A192" s="2" t="s">
        <v>913</v>
      </c>
      <c r="B192" s="2" t="s">
        <v>55</v>
      </c>
      <c r="C192" s="784">
        <v>128</v>
      </c>
      <c r="D192" s="2" t="s">
        <v>53</v>
      </c>
      <c r="E192" s="2" t="s">
        <v>864</v>
      </c>
      <c r="F192" s="785" t="s">
        <v>914</v>
      </c>
    </row>
    <row r="193" spans="1:6" ht="15.6" hidden="1">
      <c r="A193" s="2" t="s">
        <v>915</v>
      </c>
      <c r="B193" s="2" t="s">
        <v>55</v>
      </c>
      <c r="C193" s="784">
        <v>128</v>
      </c>
      <c r="D193" s="2" t="s">
        <v>53</v>
      </c>
      <c r="E193" s="2" t="s">
        <v>876</v>
      </c>
      <c r="F193" s="2" t="s">
        <v>916</v>
      </c>
    </row>
    <row r="194" spans="1:6" ht="15.6" hidden="1">
      <c r="A194" s="2" t="s">
        <v>917</v>
      </c>
      <c r="B194" s="2" t="s">
        <v>55</v>
      </c>
      <c r="C194" s="784">
        <v>128</v>
      </c>
      <c r="D194" s="2" t="s">
        <v>53</v>
      </c>
      <c r="E194" s="2" t="s">
        <v>876</v>
      </c>
      <c r="F194" s="2" t="s">
        <v>918</v>
      </c>
    </row>
    <row r="195" spans="1:6" ht="15.6" hidden="1">
      <c r="A195" s="2" t="s">
        <v>919</v>
      </c>
      <c r="B195" s="2" t="s">
        <v>55</v>
      </c>
      <c r="C195" s="784">
        <v>128</v>
      </c>
      <c r="D195" s="2" t="s">
        <v>53</v>
      </c>
      <c r="E195" s="2" t="s">
        <v>876</v>
      </c>
      <c r="F195" s="2" t="s">
        <v>920</v>
      </c>
    </row>
    <row r="196" spans="1:6" ht="15.6" hidden="1">
      <c r="A196" s="2" t="s">
        <v>487</v>
      </c>
      <c r="B196" s="2" t="s">
        <v>55</v>
      </c>
      <c r="C196" s="784">
        <v>128</v>
      </c>
      <c r="D196" s="2" t="s">
        <v>53</v>
      </c>
      <c r="E196" s="2" t="s">
        <v>864</v>
      </c>
      <c r="F196" s="785" t="s">
        <v>921</v>
      </c>
    </row>
    <row r="197" spans="1:6" ht="15.6" hidden="1">
      <c r="A197" s="2" t="s">
        <v>922</v>
      </c>
      <c r="B197" s="2" t="s">
        <v>58</v>
      </c>
      <c r="C197" s="784">
        <v>1</v>
      </c>
      <c r="D197" s="2" t="s">
        <v>29</v>
      </c>
      <c r="E197" s="2" t="s">
        <v>864</v>
      </c>
      <c r="F197" s="785" t="s">
        <v>865</v>
      </c>
    </row>
    <row r="198" spans="1:6" ht="15.6" hidden="1">
      <c r="A198" s="2" t="s">
        <v>923</v>
      </c>
      <c r="B198" s="2" t="s">
        <v>55</v>
      </c>
      <c r="C198" s="784">
        <v>128</v>
      </c>
      <c r="D198" s="2" t="s">
        <v>53</v>
      </c>
      <c r="E198" s="2" t="s">
        <v>867</v>
      </c>
      <c r="F198" s="2" t="s">
        <v>916</v>
      </c>
    </row>
    <row r="199" spans="1:6" ht="15.6" hidden="1">
      <c r="A199" s="2" t="s">
        <v>924</v>
      </c>
      <c r="B199" s="2" t="s">
        <v>55</v>
      </c>
      <c r="C199" s="784">
        <v>128</v>
      </c>
      <c r="D199" s="2" t="s">
        <v>53</v>
      </c>
      <c r="E199" s="2" t="s">
        <v>867</v>
      </c>
      <c r="F199" s="2" t="s">
        <v>916</v>
      </c>
    </row>
    <row r="200" spans="1:6" ht="15.6" hidden="1">
      <c r="A200" s="2" t="s">
        <v>925</v>
      </c>
      <c r="B200" s="2" t="s">
        <v>55</v>
      </c>
      <c r="C200" s="784">
        <v>128</v>
      </c>
      <c r="D200" s="2" t="s">
        <v>53</v>
      </c>
      <c r="E200" s="2" t="s">
        <v>876</v>
      </c>
      <c r="F200" s="2" t="s">
        <v>916</v>
      </c>
    </row>
    <row r="201" spans="1:6" ht="15.6" hidden="1">
      <c r="A201" s="2" t="s">
        <v>495</v>
      </c>
      <c r="B201" s="2" t="s">
        <v>52</v>
      </c>
      <c r="C201" s="784">
        <v>8</v>
      </c>
      <c r="D201" s="2" t="s">
        <v>53</v>
      </c>
      <c r="E201" s="2" t="s">
        <v>864</v>
      </c>
      <c r="F201" s="785" t="s">
        <v>870</v>
      </c>
    </row>
    <row r="202" spans="1:6" ht="15.6" hidden="1">
      <c r="A202" s="2" t="s">
        <v>926</v>
      </c>
      <c r="B202" s="2" t="s">
        <v>52</v>
      </c>
      <c r="C202" s="784">
        <v>8</v>
      </c>
      <c r="D202" s="2" t="s">
        <v>53</v>
      </c>
      <c r="E202" s="2" t="s">
        <v>864</v>
      </c>
      <c r="F202" s="785" t="s">
        <v>870</v>
      </c>
    </row>
    <row r="203" spans="1:6" ht="15.6" hidden="1">
      <c r="A203" s="2" t="s">
        <v>927</v>
      </c>
      <c r="B203" s="2" t="s">
        <v>52</v>
      </c>
      <c r="C203" s="784">
        <v>8</v>
      </c>
      <c r="D203" s="2" t="s">
        <v>53</v>
      </c>
      <c r="E203" s="2" t="s">
        <v>864</v>
      </c>
      <c r="F203" s="785" t="s">
        <v>914</v>
      </c>
    </row>
    <row r="204" spans="1:6" ht="15.6" hidden="1">
      <c r="A204" s="2" t="s">
        <v>928</v>
      </c>
      <c r="B204" s="2" t="s">
        <v>55</v>
      </c>
      <c r="C204" s="784">
        <v>128</v>
      </c>
      <c r="D204" s="2" t="s">
        <v>53</v>
      </c>
      <c r="E204" s="2" t="s">
        <v>864</v>
      </c>
      <c r="F204" s="785" t="s">
        <v>929</v>
      </c>
    </row>
    <row r="205" spans="1:6" ht="15.6" hidden="1">
      <c r="A205" s="2" t="s">
        <v>930</v>
      </c>
      <c r="B205" s="2" t="s">
        <v>52</v>
      </c>
      <c r="C205" s="784">
        <v>8</v>
      </c>
      <c r="D205" s="2" t="s">
        <v>53</v>
      </c>
      <c r="E205" s="2" t="s">
        <v>864</v>
      </c>
      <c r="F205" s="785" t="s">
        <v>870</v>
      </c>
    </row>
    <row r="206" spans="1:6" ht="15.6" hidden="1">
      <c r="A206" s="2" t="s">
        <v>931</v>
      </c>
      <c r="B206" s="2" t="s">
        <v>52</v>
      </c>
      <c r="C206" s="784">
        <v>8</v>
      </c>
      <c r="D206" s="2" t="s">
        <v>53</v>
      </c>
      <c r="E206" s="2" t="s">
        <v>864</v>
      </c>
      <c r="F206" s="785" t="s">
        <v>870</v>
      </c>
    </row>
    <row r="207" spans="1:6" ht="15.6" hidden="1">
      <c r="A207" s="2" t="s">
        <v>932</v>
      </c>
      <c r="B207" s="2" t="s">
        <v>55</v>
      </c>
      <c r="C207" s="784">
        <v>128</v>
      </c>
      <c r="D207" s="2" t="s">
        <v>53</v>
      </c>
      <c r="E207" s="2" t="s">
        <v>864</v>
      </c>
      <c r="F207" s="785" t="s">
        <v>933</v>
      </c>
    </row>
    <row r="208" spans="1:6" ht="15.6" hidden="1">
      <c r="A208" s="2" t="s">
        <v>934</v>
      </c>
      <c r="B208" s="2" t="s">
        <v>55</v>
      </c>
      <c r="C208" s="784">
        <v>128</v>
      </c>
      <c r="D208" s="2" t="s">
        <v>53</v>
      </c>
      <c r="E208" s="2" t="s">
        <v>864</v>
      </c>
      <c r="F208" s="785" t="s">
        <v>935</v>
      </c>
    </row>
    <row r="209" spans="1:6" ht="15.6" hidden="1">
      <c r="A209" s="2" t="s">
        <v>936</v>
      </c>
      <c r="B209" s="2" t="s">
        <v>55</v>
      </c>
      <c r="C209" s="784">
        <v>128</v>
      </c>
      <c r="D209" s="2" t="s">
        <v>53</v>
      </c>
      <c r="E209" s="2" t="s">
        <v>876</v>
      </c>
      <c r="F209" s="2" t="s">
        <v>916</v>
      </c>
    </row>
    <row r="210" spans="1:6" ht="15.6" hidden="1">
      <c r="A210" s="2" t="s">
        <v>937</v>
      </c>
      <c r="B210" s="2" t="s">
        <v>55</v>
      </c>
      <c r="C210" s="784">
        <v>128</v>
      </c>
      <c r="D210" s="2" t="s">
        <v>53</v>
      </c>
      <c r="E210" s="2" t="s">
        <v>864</v>
      </c>
      <c r="F210" s="785" t="s">
        <v>873</v>
      </c>
    </row>
    <row r="211" spans="1:6" ht="15.6" hidden="1">
      <c r="A211" s="2" t="s">
        <v>938</v>
      </c>
      <c r="B211" s="2" t="s">
        <v>55</v>
      </c>
      <c r="C211" s="784">
        <v>128</v>
      </c>
      <c r="D211" s="2" t="s">
        <v>53</v>
      </c>
      <c r="E211" s="2" t="s">
        <v>867</v>
      </c>
      <c r="F211" s="2" t="s">
        <v>873</v>
      </c>
    </row>
    <row r="212" spans="1:6" ht="15.6" hidden="1">
      <c r="A212" s="2" t="s">
        <v>939</v>
      </c>
      <c r="B212" s="2" t="s">
        <v>55</v>
      </c>
      <c r="C212" s="784">
        <v>128</v>
      </c>
      <c r="D212" s="2" t="s">
        <v>53</v>
      </c>
      <c r="E212" s="2" t="s">
        <v>864</v>
      </c>
      <c r="F212" s="785" t="s">
        <v>873</v>
      </c>
    </row>
    <row r="213" spans="1:6" ht="15.6" hidden="1">
      <c r="A213" s="2" t="s">
        <v>940</v>
      </c>
      <c r="B213" s="2" t="s">
        <v>55</v>
      </c>
      <c r="C213" s="784">
        <v>128</v>
      </c>
      <c r="D213" s="2" t="s">
        <v>53</v>
      </c>
      <c r="E213" s="2" t="s">
        <v>864</v>
      </c>
      <c r="F213" s="785" t="s">
        <v>889</v>
      </c>
    </row>
    <row r="214" spans="1:6" ht="15.6" hidden="1">
      <c r="A214" s="2" t="s">
        <v>490</v>
      </c>
      <c r="B214" s="2" t="s">
        <v>55</v>
      </c>
      <c r="C214" s="784">
        <v>128</v>
      </c>
      <c r="D214" s="2" t="s">
        <v>53</v>
      </c>
      <c r="E214" s="2" t="s">
        <v>864</v>
      </c>
      <c r="F214" s="785" t="s">
        <v>896</v>
      </c>
    </row>
    <row r="215" spans="1:6" ht="15.6" hidden="1">
      <c r="A215" s="2" t="s">
        <v>941</v>
      </c>
      <c r="B215" s="2" t="s">
        <v>55</v>
      </c>
      <c r="C215" s="784">
        <v>128</v>
      </c>
      <c r="D215" s="2" t="s">
        <v>53</v>
      </c>
      <c r="E215" s="2" t="s">
        <v>876</v>
      </c>
      <c r="F215" s="2" t="s">
        <v>916</v>
      </c>
    </row>
    <row r="216" spans="1:6" ht="15.6" hidden="1">
      <c r="A216" s="2" t="s">
        <v>942</v>
      </c>
      <c r="B216" s="2" t="s">
        <v>55</v>
      </c>
      <c r="C216" s="784">
        <v>128</v>
      </c>
      <c r="D216" s="2" t="s">
        <v>53</v>
      </c>
      <c r="E216" s="2" t="s">
        <v>864</v>
      </c>
      <c r="F216" s="785" t="s">
        <v>907</v>
      </c>
    </row>
    <row r="217" spans="1:6" ht="15.6" hidden="1">
      <c r="A217" s="2" t="s">
        <v>491</v>
      </c>
      <c r="B217" s="2" t="s">
        <v>55</v>
      </c>
      <c r="C217" s="784">
        <v>128</v>
      </c>
      <c r="D217" s="2" t="s">
        <v>53</v>
      </c>
      <c r="E217" s="2" t="s">
        <v>864</v>
      </c>
      <c r="F217" s="785" t="s">
        <v>943</v>
      </c>
    </row>
    <row r="218" spans="1:6" ht="15.6" hidden="1">
      <c r="A218" s="2" t="s">
        <v>944</v>
      </c>
      <c r="B218" s="2" t="s">
        <v>50</v>
      </c>
      <c r="C218" s="784">
        <v>4</v>
      </c>
      <c r="D218" s="2" t="s">
        <v>53</v>
      </c>
      <c r="E218" s="2" t="s">
        <v>864</v>
      </c>
      <c r="F218" s="785" t="s">
        <v>887</v>
      </c>
    </row>
    <row r="219" spans="1:6" ht="15.6" hidden="1">
      <c r="A219" s="2" t="s">
        <v>945</v>
      </c>
      <c r="B219" s="2" t="s">
        <v>55</v>
      </c>
      <c r="C219" s="784">
        <v>128</v>
      </c>
      <c r="D219" s="2" t="s">
        <v>53</v>
      </c>
      <c r="E219" s="2" t="s">
        <v>864</v>
      </c>
      <c r="F219" s="785" t="s">
        <v>874</v>
      </c>
    </row>
    <row r="220" spans="1:6" ht="15.6" hidden="1">
      <c r="A220" s="2" t="s">
        <v>492</v>
      </c>
      <c r="B220" s="2" t="s">
        <v>55</v>
      </c>
      <c r="C220" s="784">
        <v>128</v>
      </c>
      <c r="D220" s="2" t="s">
        <v>53</v>
      </c>
      <c r="E220" s="2" t="s">
        <v>876</v>
      </c>
      <c r="F220" s="2" t="s">
        <v>916</v>
      </c>
    </row>
    <row r="221" spans="1:6" ht="15.6" hidden="1">
      <c r="A221" s="2" t="s">
        <v>946</v>
      </c>
      <c r="B221" s="2" t="s">
        <v>55</v>
      </c>
      <c r="C221" s="784">
        <v>128</v>
      </c>
      <c r="D221" s="2" t="s">
        <v>53</v>
      </c>
      <c r="E221" s="2" t="s">
        <v>864</v>
      </c>
      <c r="F221" s="785" t="s">
        <v>947</v>
      </c>
    </row>
    <row r="222" spans="1:6" ht="15.6" hidden="1">
      <c r="A222" s="2" t="s">
        <v>948</v>
      </c>
      <c r="B222" s="2" t="s">
        <v>58</v>
      </c>
      <c r="C222" s="784">
        <v>1</v>
      </c>
      <c r="D222" s="2" t="s">
        <v>29</v>
      </c>
      <c r="E222" s="2" t="s">
        <v>876</v>
      </c>
      <c r="F222" s="2" t="s">
        <v>949</v>
      </c>
    </row>
    <row r="223" spans="1:6" ht="15.6" hidden="1">
      <c r="A223" s="2" t="s">
        <v>950</v>
      </c>
      <c r="B223" s="2" t="s">
        <v>55</v>
      </c>
      <c r="C223" s="784">
        <v>128</v>
      </c>
      <c r="D223" s="2" t="s">
        <v>53</v>
      </c>
      <c r="E223" s="2" t="s">
        <v>867</v>
      </c>
      <c r="F223" s="2" t="s">
        <v>868</v>
      </c>
    </row>
    <row r="224" spans="1:6" ht="15.6" hidden="1">
      <c r="A224" s="2" t="s">
        <v>951</v>
      </c>
      <c r="B224" s="2" t="s">
        <v>55</v>
      </c>
      <c r="C224" s="784">
        <v>128</v>
      </c>
      <c r="D224" s="2" t="s">
        <v>53</v>
      </c>
      <c r="E224" s="2" t="s">
        <v>864</v>
      </c>
      <c r="F224" s="785" t="s">
        <v>952</v>
      </c>
    </row>
    <row r="225" spans="1:6" ht="15.6" hidden="1">
      <c r="A225" s="2" t="s">
        <v>953</v>
      </c>
      <c r="B225" s="2" t="s">
        <v>55</v>
      </c>
      <c r="C225" s="784">
        <v>128</v>
      </c>
      <c r="D225" s="2" t="s">
        <v>53</v>
      </c>
      <c r="E225" s="2" t="s">
        <v>867</v>
      </c>
      <c r="F225" s="2" t="s">
        <v>878</v>
      </c>
    </row>
    <row r="226" spans="1:6" ht="15.6" hidden="1">
      <c r="A226" s="2" t="s">
        <v>493</v>
      </c>
      <c r="B226" s="2" t="s">
        <v>55</v>
      </c>
      <c r="C226" s="784">
        <v>128</v>
      </c>
      <c r="D226" s="2" t="s">
        <v>53</v>
      </c>
      <c r="E226" s="2" t="s">
        <v>864</v>
      </c>
      <c r="F226" s="785" t="s">
        <v>885</v>
      </c>
    </row>
    <row r="227" spans="1:6" ht="15.6" hidden="1">
      <c r="A227" s="2" t="s">
        <v>954</v>
      </c>
      <c r="B227" s="2" t="s">
        <v>55</v>
      </c>
      <c r="C227" s="784">
        <v>128</v>
      </c>
      <c r="D227" s="2" t="s">
        <v>53</v>
      </c>
      <c r="E227" s="2" t="s">
        <v>864</v>
      </c>
      <c r="F227" s="785" t="s">
        <v>955</v>
      </c>
    </row>
    <row r="228" spans="1:6" ht="15.6" hidden="1">
      <c r="A228" s="2" t="s">
        <v>956</v>
      </c>
      <c r="B228" s="2" t="s">
        <v>55</v>
      </c>
      <c r="C228" s="784">
        <v>128</v>
      </c>
      <c r="D228" s="2" t="s">
        <v>53</v>
      </c>
      <c r="E228" s="2" t="s">
        <v>867</v>
      </c>
      <c r="F228" s="2" t="s">
        <v>868</v>
      </c>
    </row>
    <row r="229" spans="1:6" ht="15.6" hidden="1">
      <c r="A229" s="2" t="s">
        <v>957</v>
      </c>
      <c r="B229" s="2" t="s">
        <v>55</v>
      </c>
      <c r="C229" s="784">
        <v>128</v>
      </c>
      <c r="D229" s="2" t="s">
        <v>53</v>
      </c>
      <c r="E229" s="2" t="s">
        <v>876</v>
      </c>
      <c r="F229" s="2" t="s">
        <v>916</v>
      </c>
    </row>
    <row r="230" spans="1:6" ht="15.6" hidden="1">
      <c r="A230" s="2" t="s">
        <v>958</v>
      </c>
      <c r="B230" s="2" t="s">
        <v>58</v>
      </c>
      <c r="C230" s="784">
        <v>1</v>
      </c>
      <c r="D230" s="2" t="s">
        <v>29</v>
      </c>
      <c r="E230" s="2" t="s">
        <v>864</v>
      </c>
      <c r="F230" s="785" t="s">
        <v>865</v>
      </c>
    </row>
    <row r="231" spans="1:6" ht="15.6" hidden="1">
      <c r="A231" s="2" t="s">
        <v>959</v>
      </c>
      <c r="B231" s="2" t="s">
        <v>55</v>
      </c>
      <c r="C231" s="784">
        <v>128</v>
      </c>
      <c r="D231" s="2" t="s">
        <v>53</v>
      </c>
      <c r="E231" s="2" t="s">
        <v>867</v>
      </c>
      <c r="F231" s="2" t="s">
        <v>868</v>
      </c>
    </row>
    <row r="232" spans="1:6" ht="15.6" hidden="1">
      <c r="A232" s="2" t="s">
        <v>960</v>
      </c>
      <c r="B232" s="2" t="s">
        <v>55</v>
      </c>
      <c r="C232" s="784">
        <v>128</v>
      </c>
      <c r="D232" s="2" t="s">
        <v>53</v>
      </c>
      <c r="E232" s="2" t="s">
        <v>864</v>
      </c>
      <c r="F232" s="785" t="s">
        <v>961</v>
      </c>
    </row>
    <row r="233" spans="1:6" ht="15.6" hidden="1">
      <c r="A233" s="2" t="s">
        <v>962</v>
      </c>
      <c r="B233" s="2" t="s">
        <v>55</v>
      </c>
      <c r="C233" s="784">
        <v>128</v>
      </c>
      <c r="D233" s="2" t="s">
        <v>53</v>
      </c>
      <c r="E233" s="2" t="s">
        <v>864</v>
      </c>
      <c r="F233" s="785" t="s">
        <v>874</v>
      </c>
    </row>
    <row r="234" spans="1:6" ht="15.6">
      <c r="A234" s="596" t="s">
        <v>737</v>
      </c>
      <c r="B234" s="596" t="s">
        <v>737</v>
      </c>
      <c r="C234" s="604">
        <v>0</v>
      </c>
      <c r="D234" s="596" t="s">
        <v>737</v>
      </c>
    </row>
    <row r="235" spans="1:6" ht="15.6">
      <c r="A235" s="596" t="s">
        <v>737</v>
      </c>
      <c r="B235" s="596" t="s">
        <v>737</v>
      </c>
      <c r="C235" s="604">
        <v>0</v>
      </c>
      <c r="D235" s="596" t="s">
        <v>737</v>
      </c>
    </row>
    <row r="236" spans="1:6" ht="15.6">
      <c r="A236" s="596" t="s">
        <v>737</v>
      </c>
      <c r="B236" s="596" t="s">
        <v>737</v>
      </c>
      <c r="C236" s="604">
        <v>0</v>
      </c>
      <c r="D236" s="596" t="s">
        <v>737</v>
      </c>
    </row>
    <row r="237" spans="1:6" ht="15.6">
      <c r="A237" s="596" t="s">
        <v>737</v>
      </c>
      <c r="B237" s="596" t="s">
        <v>737</v>
      </c>
      <c r="C237" s="604">
        <v>0</v>
      </c>
      <c r="D237" s="596" t="s">
        <v>737</v>
      </c>
    </row>
    <row r="238" spans="1:6" ht="15.6">
      <c r="A238" s="596" t="s">
        <v>737</v>
      </c>
      <c r="B238" s="596" t="s">
        <v>737</v>
      </c>
      <c r="C238" s="604">
        <v>0</v>
      </c>
      <c r="D238" s="596" t="s">
        <v>737</v>
      </c>
    </row>
    <row r="239" spans="1:6" ht="15.6">
      <c r="A239" s="596" t="s">
        <v>737</v>
      </c>
      <c r="B239" s="596" t="s">
        <v>737</v>
      </c>
      <c r="C239" s="604">
        <v>0</v>
      </c>
      <c r="D239" s="596" t="s">
        <v>737</v>
      </c>
    </row>
    <row r="242" spans="1:1">
      <c r="A242" s="248" t="s">
        <v>1015</v>
      </c>
    </row>
    <row r="244" spans="1:1">
      <c r="A244" s="248" t="s">
        <v>594</v>
      </c>
    </row>
    <row r="246" spans="1:1">
      <c r="A246" s="248" t="s">
        <v>1014</v>
      </c>
    </row>
  </sheetData>
  <sheetProtection sheet="1" objects="1" scenarios="1"/>
  <sortState xmlns:xlrd2="http://schemas.microsoft.com/office/spreadsheetml/2017/richdata2" ref="A5:F56">
    <sortCondition ref="A5:A56"/>
  </sortState>
  <mergeCells count="5">
    <mergeCell ref="A109:D109"/>
    <mergeCell ref="A126:D126"/>
    <mergeCell ref="A152:D152"/>
    <mergeCell ref="A2:F2"/>
    <mergeCell ref="A58:F58"/>
  </mergeCells>
  <hyperlinks>
    <hyperlink ref="A242" r:id="rId1" xr:uid="{00000000-0004-0000-0400-000001000000}"/>
    <hyperlink ref="A244" r:id="rId2" xr:uid="{8C78B6FE-A301-428E-973B-36A401D5626C}"/>
    <hyperlink ref="A246" r:id="rId3" xr:uid="{3077A145-2EE7-4F68-A60B-8113F6E0FCC2}"/>
  </hyperlinks>
  <pageMargins left="0.7" right="0.7" top="0.75" bottom="0.75" header="0.3" footer="0.3"/>
  <pageSetup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41ABB-1A6B-40E2-9E20-0666E4E83F44}">
  <sheetPr codeName="Sheet17"/>
  <dimension ref="A1:O223"/>
  <sheetViews>
    <sheetView zoomScale="80" zoomScaleNormal="80" workbookViewId="0">
      <selection activeCell="F129" sqref="F129"/>
    </sheetView>
  </sheetViews>
  <sheetFormatPr defaultRowHeight="14.4"/>
  <cols>
    <col min="1" max="1" width="31.44140625" bestFit="1" customWidth="1"/>
    <col min="2" max="2" width="8.6640625" bestFit="1" customWidth="1"/>
    <col min="4" max="4" width="11.109375" bestFit="1" customWidth="1"/>
    <col min="5" max="5" width="11" bestFit="1" customWidth="1"/>
    <col min="6" max="6" width="12.88671875" bestFit="1" customWidth="1"/>
  </cols>
  <sheetData>
    <row r="1" spans="1:15">
      <c r="A1" s="4">
        <v>1</v>
      </c>
      <c r="B1" s="4">
        <v>2</v>
      </c>
      <c r="C1" s="4">
        <v>3</v>
      </c>
      <c r="D1" s="4">
        <v>4</v>
      </c>
      <c r="E1" s="4">
        <v>5</v>
      </c>
      <c r="F1" s="5" t="s">
        <v>257</v>
      </c>
    </row>
    <row r="2" spans="1:15" ht="18">
      <c r="A2" s="1010" t="s">
        <v>756</v>
      </c>
      <c r="B2" s="1010"/>
      <c r="C2" s="1010"/>
      <c r="D2" s="1010"/>
      <c r="E2" s="1010"/>
      <c r="F2" s="1010"/>
      <c r="I2" s="601" t="s">
        <v>747</v>
      </c>
      <c r="J2" s="601" t="s">
        <v>46</v>
      </c>
      <c r="K2" s="601" t="s">
        <v>49</v>
      </c>
      <c r="L2" s="601" t="s">
        <v>48</v>
      </c>
      <c r="M2" s="601" t="s">
        <v>47</v>
      </c>
      <c r="N2" s="601" t="s">
        <v>219</v>
      </c>
      <c r="O2" s="600" t="s">
        <v>220</v>
      </c>
    </row>
    <row r="3" spans="1:15" ht="15.6">
      <c r="A3" s="599" t="s">
        <v>46</v>
      </c>
      <c r="B3" s="599" t="s">
        <v>49</v>
      </c>
      <c r="C3" s="599" t="s">
        <v>48</v>
      </c>
      <c r="D3" s="599" t="s">
        <v>47</v>
      </c>
      <c r="E3" s="599" t="s">
        <v>219</v>
      </c>
      <c r="F3" s="600" t="s">
        <v>220</v>
      </c>
      <c r="I3" s="601"/>
      <c r="J3" s="602" t="s">
        <v>51</v>
      </c>
      <c r="K3" s="601" t="s">
        <v>52</v>
      </c>
      <c r="L3" s="603">
        <v>8</v>
      </c>
      <c r="M3" s="601" t="s">
        <v>53</v>
      </c>
      <c r="N3" s="601" t="s">
        <v>195</v>
      </c>
      <c r="O3" s="600">
        <v>4</v>
      </c>
    </row>
    <row r="4" spans="1:15" hidden="1">
      <c r="A4" t="s">
        <v>13</v>
      </c>
      <c r="C4">
        <v>1</v>
      </c>
      <c r="D4" t="s">
        <v>13</v>
      </c>
      <c r="E4" t="s">
        <v>13</v>
      </c>
      <c r="F4" s="5"/>
    </row>
    <row r="5" spans="1:15" ht="15.6" hidden="1">
      <c r="A5" s="2" t="s">
        <v>317</v>
      </c>
      <c r="B5" t="s">
        <v>55</v>
      </c>
      <c r="C5" s="3">
        <v>16</v>
      </c>
      <c r="D5" t="s">
        <v>29</v>
      </c>
      <c r="E5" t="s">
        <v>190</v>
      </c>
      <c r="F5" s="5" t="s">
        <v>318</v>
      </c>
    </row>
    <row r="6" spans="1:15" ht="15.6" hidden="1">
      <c r="A6" s="2" t="s">
        <v>179</v>
      </c>
      <c r="B6" t="s">
        <v>55</v>
      </c>
      <c r="C6" s="3">
        <v>128</v>
      </c>
      <c r="D6" t="s">
        <v>56</v>
      </c>
      <c r="E6" t="s">
        <v>190</v>
      </c>
      <c r="F6" s="5" t="s">
        <v>223</v>
      </c>
    </row>
    <row r="7" spans="1:15" ht="15.6" hidden="1">
      <c r="A7" s="2" t="s">
        <v>319</v>
      </c>
      <c r="B7" t="s">
        <v>55</v>
      </c>
      <c r="C7" s="3">
        <v>128</v>
      </c>
      <c r="D7" t="s">
        <v>56</v>
      </c>
      <c r="E7" t="s">
        <v>190</v>
      </c>
      <c r="F7" s="5" t="s">
        <v>320</v>
      </c>
    </row>
    <row r="8" spans="1:15" ht="15.6" hidden="1">
      <c r="A8" s="2" t="s">
        <v>591</v>
      </c>
      <c r="B8" t="s">
        <v>55</v>
      </c>
      <c r="C8" s="3">
        <v>128</v>
      </c>
      <c r="D8" t="s">
        <v>53</v>
      </c>
      <c r="E8" t="s">
        <v>191</v>
      </c>
      <c r="F8" s="5" t="s">
        <v>223</v>
      </c>
    </row>
    <row r="9" spans="1:15" ht="15.6" hidden="1">
      <c r="A9" s="2" t="s">
        <v>321</v>
      </c>
      <c r="B9" t="s">
        <v>55</v>
      </c>
      <c r="C9" s="3">
        <v>16</v>
      </c>
      <c r="D9" t="s">
        <v>29</v>
      </c>
      <c r="E9" t="s">
        <v>190</v>
      </c>
      <c r="F9" s="5" t="s">
        <v>320</v>
      </c>
    </row>
    <row r="10" spans="1:15" ht="15.6" hidden="1">
      <c r="A10" s="2" t="s">
        <v>322</v>
      </c>
      <c r="B10" t="s">
        <v>55</v>
      </c>
      <c r="C10" s="3">
        <v>16</v>
      </c>
      <c r="D10" t="s">
        <v>29</v>
      </c>
      <c r="E10" t="s">
        <v>190</v>
      </c>
      <c r="F10" s="5" t="s">
        <v>320</v>
      </c>
    </row>
    <row r="11" spans="1:15" ht="15.6" hidden="1">
      <c r="A11" s="2" t="s">
        <v>323</v>
      </c>
      <c r="B11" t="s">
        <v>55</v>
      </c>
      <c r="C11" s="3">
        <v>16</v>
      </c>
      <c r="D11" t="s">
        <v>29</v>
      </c>
      <c r="E11" t="s">
        <v>190</v>
      </c>
      <c r="F11" s="5" t="s">
        <v>324</v>
      </c>
    </row>
    <row r="12" spans="1:15" ht="15.6" hidden="1">
      <c r="A12" s="2" t="s">
        <v>592</v>
      </c>
      <c r="B12" t="s">
        <v>55</v>
      </c>
      <c r="C12" s="3">
        <v>16</v>
      </c>
      <c r="D12" t="s">
        <v>29</v>
      </c>
      <c r="E12" t="s">
        <v>190</v>
      </c>
      <c r="F12" s="5" t="s">
        <v>223</v>
      </c>
    </row>
    <row r="13" spans="1:15" ht="15.6" hidden="1">
      <c r="A13" s="2" t="s">
        <v>325</v>
      </c>
      <c r="B13" t="s">
        <v>55</v>
      </c>
      <c r="C13" s="3">
        <v>16</v>
      </c>
      <c r="D13" t="s">
        <v>29</v>
      </c>
      <c r="E13" t="s">
        <v>190</v>
      </c>
      <c r="F13" s="5" t="s">
        <v>320</v>
      </c>
    </row>
    <row r="14" spans="1:15" ht="15.6" hidden="1">
      <c r="A14" s="2" t="s">
        <v>147</v>
      </c>
      <c r="B14" t="s">
        <v>52</v>
      </c>
      <c r="C14" s="3">
        <v>8</v>
      </c>
      <c r="D14" t="s">
        <v>53</v>
      </c>
      <c r="E14" t="s">
        <v>190</v>
      </c>
      <c r="F14" s="5" t="s">
        <v>247</v>
      </c>
    </row>
    <row r="15" spans="1:15" ht="15.6" hidden="1">
      <c r="A15" s="2" t="s">
        <v>326</v>
      </c>
      <c r="B15" t="s">
        <v>55</v>
      </c>
      <c r="C15" s="3">
        <v>128</v>
      </c>
      <c r="D15" t="s">
        <v>56</v>
      </c>
      <c r="E15" t="s">
        <v>190</v>
      </c>
      <c r="F15" s="5" t="s">
        <v>233</v>
      </c>
    </row>
    <row r="16" spans="1:15" ht="15.6" hidden="1">
      <c r="A16" s="2" t="s">
        <v>305</v>
      </c>
      <c r="B16" t="s">
        <v>52</v>
      </c>
      <c r="C16" s="3">
        <v>8</v>
      </c>
      <c r="D16" t="s">
        <v>53</v>
      </c>
      <c r="E16" t="s">
        <v>191</v>
      </c>
      <c r="F16" s="5" t="s">
        <v>306</v>
      </c>
    </row>
    <row r="17" spans="1:6" ht="15.6" hidden="1">
      <c r="A17" s="2" t="s">
        <v>307</v>
      </c>
      <c r="B17" t="s">
        <v>52</v>
      </c>
      <c r="C17" s="3">
        <v>8</v>
      </c>
      <c r="D17" t="s">
        <v>53</v>
      </c>
      <c r="E17" t="s">
        <v>191</v>
      </c>
      <c r="F17" s="5" t="s">
        <v>239</v>
      </c>
    </row>
    <row r="18" spans="1:6" ht="15.6" hidden="1">
      <c r="A18" s="2" t="s">
        <v>253</v>
      </c>
      <c r="B18" t="s">
        <v>52</v>
      </c>
      <c r="C18">
        <v>8</v>
      </c>
      <c r="D18" t="s">
        <v>53</v>
      </c>
      <c r="E18" t="s">
        <v>195</v>
      </c>
      <c r="F18" s="5" t="s">
        <v>255</v>
      </c>
    </row>
    <row r="19" spans="1:6" ht="15.6" hidden="1">
      <c r="A19" s="2" t="s">
        <v>254</v>
      </c>
      <c r="B19" t="s">
        <v>52</v>
      </c>
      <c r="C19">
        <v>8</v>
      </c>
      <c r="D19" t="s">
        <v>53</v>
      </c>
      <c r="E19" t="s">
        <v>195</v>
      </c>
      <c r="F19" s="5" t="s">
        <v>256</v>
      </c>
    </row>
    <row r="20" spans="1:6" ht="15.6" hidden="1">
      <c r="A20" s="2" t="s">
        <v>357</v>
      </c>
      <c r="B20" t="s">
        <v>55</v>
      </c>
      <c r="C20">
        <v>128</v>
      </c>
      <c r="D20" t="s">
        <v>53</v>
      </c>
      <c r="E20" t="s">
        <v>191</v>
      </c>
      <c r="F20" s="5" t="s">
        <v>255</v>
      </c>
    </row>
    <row r="21" spans="1:6" ht="15.6" hidden="1">
      <c r="A21" s="2" t="s">
        <v>327</v>
      </c>
      <c r="B21" t="s">
        <v>55</v>
      </c>
      <c r="C21" s="3">
        <v>16</v>
      </c>
      <c r="D21" t="s">
        <v>29</v>
      </c>
      <c r="E21" t="s">
        <v>190</v>
      </c>
      <c r="F21" s="5" t="s">
        <v>318</v>
      </c>
    </row>
    <row r="22" spans="1:6" ht="15.6" hidden="1">
      <c r="A22" s="2" t="s">
        <v>185</v>
      </c>
      <c r="B22" t="s">
        <v>55</v>
      </c>
      <c r="C22" s="3">
        <v>16</v>
      </c>
      <c r="D22" t="s">
        <v>29</v>
      </c>
      <c r="E22" t="s">
        <v>190</v>
      </c>
      <c r="F22" s="5" t="s">
        <v>223</v>
      </c>
    </row>
    <row r="23" spans="1:6" ht="15.6" hidden="1">
      <c r="A23" s="2" t="s">
        <v>328</v>
      </c>
      <c r="B23" t="s">
        <v>55</v>
      </c>
      <c r="C23" s="3">
        <v>16</v>
      </c>
      <c r="D23" t="s">
        <v>29</v>
      </c>
      <c r="E23" t="s">
        <v>190</v>
      </c>
      <c r="F23" s="5" t="s">
        <v>329</v>
      </c>
    </row>
    <row r="24" spans="1:6" ht="15.6" hidden="1">
      <c r="A24" s="2" t="s">
        <v>308</v>
      </c>
      <c r="B24" t="s">
        <v>55</v>
      </c>
      <c r="C24" s="3">
        <v>16</v>
      </c>
      <c r="D24" t="s">
        <v>29</v>
      </c>
      <c r="E24" t="s">
        <v>191</v>
      </c>
      <c r="F24" s="5" t="s">
        <v>241</v>
      </c>
    </row>
    <row r="25" spans="1:6" ht="15.6" hidden="1">
      <c r="A25" s="2" t="s">
        <v>330</v>
      </c>
      <c r="B25" t="s">
        <v>52</v>
      </c>
      <c r="C25" s="3">
        <v>8</v>
      </c>
      <c r="D25" t="s">
        <v>53</v>
      </c>
      <c r="E25" t="s">
        <v>190</v>
      </c>
      <c r="F25" s="5" t="s">
        <v>331</v>
      </c>
    </row>
    <row r="26" spans="1:6" ht="15.6" hidden="1">
      <c r="A26" s="2" t="s">
        <v>222</v>
      </c>
      <c r="B26" t="s">
        <v>55</v>
      </c>
      <c r="C26" s="3">
        <v>128</v>
      </c>
      <c r="D26" t="s">
        <v>53</v>
      </c>
      <c r="E26" t="s">
        <v>195</v>
      </c>
      <c r="F26" s="5">
        <v>9</v>
      </c>
    </row>
    <row r="27" spans="1:6" ht="15.6" hidden="1">
      <c r="A27" s="2" t="s">
        <v>309</v>
      </c>
      <c r="B27" t="s">
        <v>58</v>
      </c>
      <c r="C27" s="3">
        <v>1</v>
      </c>
      <c r="D27" t="s">
        <v>29</v>
      </c>
      <c r="E27" t="s">
        <v>191</v>
      </c>
      <c r="F27" s="5" t="s">
        <v>310</v>
      </c>
    </row>
    <row r="28" spans="1:6" ht="15.6" hidden="1">
      <c r="A28" s="2" t="s">
        <v>311</v>
      </c>
      <c r="B28" t="s">
        <v>55</v>
      </c>
      <c r="C28" s="3">
        <v>16</v>
      </c>
      <c r="D28" t="s">
        <v>29</v>
      </c>
      <c r="E28" t="s">
        <v>191</v>
      </c>
      <c r="F28" s="5" t="s">
        <v>237</v>
      </c>
    </row>
    <row r="29" spans="1:6" ht="15.6" hidden="1">
      <c r="A29" s="2" t="s">
        <v>593</v>
      </c>
      <c r="B29" t="s">
        <v>52</v>
      </c>
      <c r="C29" s="3">
        <v>8</v>
      </c>
      <c r="D29" t="s">
        <v>53</v>
      </c>
      <c r="E29" t="s">
        <v>190</v>
      </c>
      <c r="F29" s="5" t="s">
        <v>247</v>
      </c>
    </row>
    <row r="30" spans="1:6" ht="15.6" hidden="1">
      <c r="A30" s="2" t="s">
        <v>148</v>
      </c>
      <c r="B30" t="s">
        <v>55</v>
      </c>
      <c r="C30" s="3">
        <v>16</v>
      </c>
      <c r="D30" t="s">
        <v>29</v>
      </c>
      <c r="E30" t="s">
        <v>190</v>
      </c>
      <c r="F30" s="5" t="s">
        <v>320</v>
      </c>
    </row>
    <row r="31" spans="1:6" ht="15.6" hidden="1">
      <c r="A31" s="2" t="s">
        <v>67</v>
      </c>
      <c r="B31" t="s">
        <v>55</v>
      </c>
      <c r="C31" s="3">
        <v>128</v>
      </c>
      <c r="D31" t="s">
        <v>53</v>
      </c>
      <c r="E31" t="s">
        <v>191</v>
      </c>
      <c r="F31" s="5" t="s">
        <v>239</v>
      </c>
    </row>
    <row r="32" spans="1:6" ht="15.6" hidden="1">
      <c r="A32" s="2" t="s">
        <v>332</v>
      </c>
      <c r="B32" t="s">
        <v>52</v>
      </c>
      <c r="C32" s="3">
        <v>8</v>
      </c>
      <c r="D32" t="s">
        <v>53</v>
      </c>
      <c r="E32" t="s">
        <v>190</v>
      </c>
      <c r="F32" s="5" t="s">
        <v>223</v>
      </c>
    </row>
    <row r="33" spans="1:6" ht="15.6" hidden="1">
      <c r="A33" s="2" t="s">
        <v>312</v>
      </c>
      <c r="B33" t="s">
        <v>52</v>
      </c>
      <c r="C33" s="3">
        <v>8</v>
      </c>
      <c r="D33" t="s">
        <v>53</v>
      </c>
      <c r="E33" t="s">
        <v>191</v>
      </c>
      <c r="F33" s="5" t="s">
        <v>241</v>
      </c>
    </row>
    <row r="34" spans="1:6" ht="15.6" hidden="1">
      <c r="A34" s="2" t="s">
        <v>174</v>
      </c>
      <c r="B34" t="s">
        <v>55</v>
      </c>
      <c r="C34" s="3">
        <v>16</v>
      </c>
      <c r="D34" t="s">
        <v>29</v>
      </c>
      <c r="E34" t="s">
        <v>191</v>
      </c>
      <c r="F34" s="5" t="s">
        <v>241</v>
      </c>
    </row>
    <row r="35" spans="1:6" ht="15.6" hidden="1">
      <c r="A35" s="2" t="s">
        <v>313</v>
      </c>
      <c r="B35" t="s">
        <v>52</v>
      </c>
      <c r="C35" s="3">
        <v>8</v>
      </c>
      <c r="D35" t="s">
        <v>53</v>
      </c>
      <c r="E35" t="s">
        <v>191</v>
      </c>
      <c r="F35" s="5" t="s">
        <v>240</v>
      </c>
    </row>
    <row r="36" spans="1:6" ht="15.6" hidden="1">
      <c r="A36" s="2" t="s">
        <v>314</v>
      </c>
      <c r="B36" t="s">
        <v>55</v>
      </c>
      <c r="C36" s="3">
        <v>128</v>
      </c>
      <c r="D36" t="s">
        <v>53</v>
      </c>
      <c r="E36" t="s">
        <v>191</v>
      </c>
      <c r="F36" s="5" t="s">
        <v>242</v>
      </c>
    </row>
    <row r="37" spans="1:6" ht="15.6" hidden="1">
      <c r="A37" s="2" t="s">
        <v>333</v>
      </c>
      <c r="B37" t="s">
        <v>55</v>
      </c>
      <c r="C37" s="3">
        <v>128</v>
      </c>
      <c r="D37" t="s">
        <v>53</v>
      </c>
      <c r="E37" t="s">
        <v>190</v>
      </c>
      <c r="F37" s="5" t="s">
        <v>334</v>
      </c>
    </row>
    <row r="38" spans="1:6" ht="15.6" hidden="1">
      <c r="A38" s="2" t="s">
        <v>335</v>
      </c>
      <c r="B38" t="s">
        <v>55</v>
      </c>
      <c r="C38" s="3">
        <v>16</v>
      </c>
      <c r="D38" t="s">
        <v>29</v>
      </c>
      <c r="E38" t="s">
        <v>190</v>
      </c>
      <c r="F38" s="5" t="s">
        <v>320</v>
      </c>
    </row>
    <row r="39" spans="1:6" ht="15.6" hidden="1">
      <c r="A39" s="2" t="s">
        <v>336</v>
      </c>
      <c r="B39" t="s">
        <v>55</v>
      </c>
      <c r="C39" s="3">
        <v>16</v>
      </c>
      <c r="D39" t="s">
        <v>29</v>
      </c>
      <c r="E39" t="s">
        <v>190</v>
      </c>
      <c r="F39" s="5" t="s">
        <v>233</v>
      </c>
    </row>
    <row r="40" spans="1:6" ht="15.6" hidden="1">
      <c r="A40" s="2" t="s">
        <v>315</v>
      </c>
      <c r="B40" t="s">
        <v>52</v>
      </c>
      <c r="C40" s="3">
        <v>8</v>
      </c>
      <c r="D40" t="s">
        <v>53</v>
      </c>
      <c r="E40" t="s">
        <v>191</v>
      </c>
      <c r="F40" s="5" t="s">
        <v>240</v>
      </c>
    </row>
    <row r="41" spans="1:6" ht="15.6" hidden="1">
      <c r="A41" s="2" t="s">
        <v>589</v>
      </c>
      <c r="B41" t="s">
        <v>55</v>
      </c>
      <c r="C41" s="3">
        <v>128</v>
      </c>
      <c r="D41" t="s">
        <v>53</v>
      </c>
      <c r="E41" t="s">
        <v>190</v>
      </c>
      <c r="F41" s="5" t="s">
        <v>590</v>
      </c>
    </row>
    <row r="42" spans="1:6" ht="15.6" hidden="1">
      <c r="A42" s="2" t="s">
        <v>337</v>
      </c>
      <c r="B42" t="s">
        <v>55</v>
      </c>
      <c r="C42" s="3">
        <v>16</v>
      </c>
      <c r="D42" t="s">
        <v>29</v>
      </c>
      <c r="E42" t="s">
        <v>190</v>
      </c>
      <c r="F42" s="5" t="s">
        <v>338</v>
      </c>
    </row>
    <row r="43" spans="1:6" ht="15.6" hidden="1">
      <c r="A43" s="2" t="s">
        <v>339</v>
      </c>
      <c r="B43" t="s">
        <v>55</v>
      </c>
      <c r="C43" s="3">
        <v>16</v>
      </c>
      <c r="D43" t="s">
        <v>29</v>
      </c>
      <c r="E43" t="s">
        <v>190</v>
      </c>
      <c r="F43" s="5" t="s">
        <v>320</v>
      </c>
    </row>
    <row r="44" spans="1:6" ht="15.6" hidden="1">
      <c r="A44" s="2" t="s">
        <v>316</v>
      </c>
      <c r="B44" t="s">
        <v>55</v>
      </c>
      <c r="C44" s="3">
        <v>128</v>
      </c>
      <c r="D44" t="s">
        <v>53</v>
      </c>
      <c r="E44" t="s">
        <v>191</v>
      </c>
      <c r="F44" s="5" t="s">
        <v>242</v>
      </c>
    </row>
    <row r="45" spans="1:6" ht="15.6" hidden="1">
      <c r="A45" s="2" t="s">
        <v>70</v>
      </c>
      <c r="B45" t="s">
        <v>55</v>
      </c>
      <c r="C45" s="3">
        <v>128</v>
      </c>
      <c r="D45" t="s">
        <v>53</v>
      </c>
      <c r="E45" t="s">
        <v>190</v>
      </c>
      <c r="F45" s="5" t="s">
        <v>223</v>
      </c>
    </row>
    <row r="46" spans="1:6" ht="15.6" hidden="1">
      <c r="A46" s="2" t="s">
        <v>71</v>
      </c>
      <c r="B46" t="s">
        <v>52</v>
      </c>
      <c r="C46" s="3">
        <v>8</v>
      </c>
      <c r="D46" t="s">
        <v>53</v>
      </c>
      <c r="E46" t="s">
        <v>191</v>
      </c>
      <c r="F46" s="5" t="s">
        <v>243</v>
      </c>
    </row>
    <row r="47" spans="1:6" ht="15.6" hidden="1">
      <c r="A47" s="2" t="s">
        <v>340</v>
      </c>
      <c r="B47" t="s">
        <v>55</v>
      </c>
      <c r="C47" s="3">
        <v>128</v>
      </c>
      <c r="D47" t="s">
        <v>53</v>
      </c>
      <c r="E47" t="s">
        <v>190</v>
      </c>
      <c r="F47" s="5" t="s">
        <v>223</v>
      </c>
    </row>
    <row r="48" spans="1:6" ht="15.6" hidden="1">
      <c r="A48" s="2" t="s">
        <v>358</v>
      </c>
      <c r="B48" t="s">
        <v>55</v>
      </c>
      <c r="C48">
        <v>128</v>
      </c>
      <c r="D48" t="s">
        <v>53</v>
      </c>
      <c r="E48" t="s">
        <v>191</v>
      </c>
      <c r="F48" s="5" t="s">
        <v>255</v>
      </c>
    </row>
    <row r="49" spans="1:6" ht="15.6" hidden="1">
      <c r="A49" s="2" t="s">
        <v>72</v>
      </c>
      <c r="B49" t="s">
        <v>55</v>
      </c>
      <c r="C49" s="3">
        <v>1</v>
      </c>
      <c r="D49" t="s">
        <v>53</v>
      </c>
      <c r="E49" t="s">
        <v>191</v>
      </c>
      <c r="F49" s="5" t="s">
        <v>239</v>
      </c>
    </row>
    <row r="50" spans="1:6" ht="15.6" hidden="1">
      <c r="A50" s="2" t="s">
        <v>341</v>
      </c>
      <c r="B50" t="s">
        <v>55</v>
      </c>
      <c r="C50" s="3">
        <v>128</v>
      </c>
      <c r="D50" t="s">
        <v>53</v>
      </c>
      <c r="E50" t="s">
        <v>190</v>
      </c>
      <c r="F50" s="5" t="s">
        <v>329</v>
      </c>
    </row>
    <row r="51" spans="1:6" ht="15.6">
      <c r="A51" s="596" t="s">
        <v>737</v>
      </c>
      <c r="B51" s="596" t="s">
        <v>737</v>
      </c>
      <c r="C51" s="597">
        <v>0</v>
      </c>
      <c r="D51" s="596" t="s">
        <v>737</v>
      </c>
      <c r="E51" s="596" t="s">
        <v>737</v>
      </c>
      <c r="F51" s="597">
        <v>0</v>
      </c>
    </row>
    <row r="52" spans="1:6" ht="15.6">
      <c r="A52" s="596" t="s">
        <v>737</v>
      </c>
      <c r="B52" s="596" t="s">
        <v>737</v>
      </c>
      <c r="C52" s="597">
        <v>0</v>
      </c>
      <c r="D52" s="596" t="s">
        <v>737</v>
      </c>
      <c r="E52" s="596" t="s">
        <v>737</v>
      </c>
      <c r="F52" s="597">
        <v>0</v>
      </c>
    </row>
    <row r="53" spans="1:6" ht="15.6">
      <c r="A53" s="596" t="s">
        <v>737</v>
      </c>
      <c r="B53" s="596" t="s">
        <v>737</v>
      </c>
      <c r="C53" s="597">
        <v>0</v>
      </c>
      <c r="D53" s="596" t="s">
        <v>737</v>
      </c>
      <c r="E53" s="596" t="s">
        <v>737</v>
      </c>
      <c r="F53" s="597">
        <v>0</v>
      </c>
    </row>
    <row r="54" spans="1:6" ht="15.6">
      <c r="A54" s="596" t="s">
        <v>737</v>
      </c>
      <c r="B54" s="596" t="s">
        <v>737</v>
      </c>
      <c r="C54" s="597">
        <v>0</v>
      </c>
      <c r="D54" s="596" t="s">
        <v>737</v>
      </c>
      <c r="E54" s="596" t="s">
        <v>737</v>
      </c>
      <c r="F54" s="597">
        <v>0</v>
      </c>
    </row>
    <row r="55" spans="1:6" ht="15.6">
      <c r="A55" s="596" t="s">
        <v>737</v>
      </c>
      <c r="B55" s="596" t="s">
        <v>737</v>
      </c>
      <c r="C55" s="597">
        <v>0</v>
      </c>
      <c r="D55" s="596" t="s">
        <v>737</v>
      </c>
      <c r="E55" s="596" t="s">
        <v>737</v>
      </c>
      <c r="F55" s="597">
        <v>0</v>
      </c>
    </row>
    <row r="56" spans="1:6" ht="15.6">
      <c r="A56" s="596" t="s">
        <v>737</v>
      </c>
      <c r="B56" s="596" t="s">
        <v>737</v>
      </c>
      <c r="C56" s="597">
        <v>0</v>
      </c>
      <c r="D56" s="596" t="s">
        <v>737</v>
      </c>
      <c r="E56" s="596" t="s">
        <v>737</v>
      </c>
      <c r="F56" s="597">
        <v>0</v>
      </c>
    </row>
    <row r="57" spans="1:6" ht="15.6">
      <c r="A57" s="596" t="s">
        <v>737</v>
      </c>
      <c r="B57" s="596" t="s">
        <v>737</v>
      </c>
      <c r="C57" s="597">
        <v>0</v>
      </c>
      <c r="D57" s="596" t="s">
        <v>737</v>
      </c>
      <c r="E57" s="596" t="s">
        <v>737</v>
      </c>
      <c r="F57" s="597">
        <v>0</v>
      </c>
    </row>
    <row r="58" spans="1:6" ht="15.6">
      <c r="A58" s="596" t="s">
        <v>737</v>
      </c>
      <c r="B58" s="596" t="s">
        <v>737</v>
      </c>
      <c r="C58" s="597">
        <v>0</v>
      </c>
      <c r="D58" s="596" t="s">
        <v>737</v>
      </c>
      <c r="E58" s="596" t="s">
        <v>737</v>
      </c>
      <c r="F58" s="597">
        <v>0</v>
      </c>
    </row>
    <row r="59" spans="1:6" ht="15.6">
      <c r="A59" s="614"/>
      <c r="B59" s="614"/>
      <c r="C59" s="613"/>
      <c r="D59" s="614"/>
      <c r="E59" s="614"/>
      <c r="F59" s="613"/>
    </row>
    <row r="60" spans="1:6" ht="18">
      <c r="A60" s="1010" t="s">
        <v>755</v>
      </c>
      <c r="B60" s="1010"/>
      <c r="C60" s="1010"/>
      <c r="D60" s="1010"/>
      <c r="E60" s="1010"/>
      <c r="F60" s="1010"/>
    </row>
    <row r="61" spans="1:6" hidden="1">
      <c r="A61" t="s">
        <v>13</v>
      </c>
      <c r="C61">
        <v>1</v>
      </c>
      <c r="D61" t="s">
        <v>13</v>
      </c>
      <c r="E61" t="s">
        <v>195</v>
      </c>
      <c r="F61" s="5"/>
    </row>
    <row r="62" spans="1:6" ht="15.6" hidden="1">
      <c r="A62" s="2" t="s">
        <v>179</v>
      </c>
      <c r="B62" t="s">
        <v>55</v>
      </c>
      <c r="C62">
        <v>128</v>
      </c>
      <c r="D62" t="s">
        <v>53</v>
      </c>
      <c r="E62" t="s">
        <v>195</v>
      </c>
      <c r="F62" s="5" t="s">
        <v>223</v>
      </c>
    </row>
    <row r="63" spans="1:6" ht="15.6" hidden="1">
      <c r="A63" s="2" t="s">
        <v>342</v>
      </c>
      <c r="B63" t="s">
        <v>55</v>
      </c>
      <c r="C63">
        <v>128</v>
      </c>
      <c r="D63" t="s">
        <v>53</v>
      </c>
      <c r="E63" t="s">
        <v>195</v>
      </c>
      <c r="F63" s="5">
        <v>1</v>
      </c>
    </row>
    <row r="64" spans="1:6" ht="15.6" hidden="1">
      <c r="A64" s="2" t="s">
        <v>199</v>
      </c>
      <c r="B64" t="s">
        <v>52</v>
      </c>
      <c r="C64">
        <v>8</v>
      </c>
      <c r="D64" t="s">
        <v>53</v>
      </c>
      <c r="E64" t="s">
        <v>195</v>
      </c>
      <c r="F64" s="5">
        <v>6</v>
      </c>
    </row>
    <row r="65" spans="1:6" ht="15.6" hidden="1">
      <c r="A65" s="2" t="s">
        <v>59</v>
      </c>
      <c r="B65" t="s">
        <v>55</v>
      </c>
      <c r="C65">
        <v>16</v>
      </c>
      <c r="D65" t="s">
        <v>29</v>
      </c>
      <c r="E65" t="s">
        <v>195</v>
      </c>
      <c r="F65" s="5">
        <v>14</v>
      </c>
    </row>
    <row r="66" spans="1:6" ht="15.6" hidden="1">
      <c r="A66" s="2" t="s">
        <v>356</v>
      </c>
      <c r="B66" t="s">
        <v>50</v>
      </c>
      <c r="C66">
        <v>4</v>
      </c>
      <c r="D66" t="s">
        <v>53</v>
      </c>
      <c r="E66" t="s">
        <v>195</v>
      </c>
      <c r="F66" s="5" t="s">
        <v>360</v>
      </c>
    </row>
    <row r="67" spans="1:6" ht="15.6" hidden="1">
      <c r="A67" s="2" t="s">
        <v>343</v>
      </c>
      <c r="B67" t="s">
        <v>55</v>
      </c>
      <c r="C67">
        <v>16</v>
      </c>
      <c r="D67" t="s">
        <v>29</v>
      </c>
      <c r="E67" t="s">
        <v>195</v>
      </c>
      <c r="F67" s="5">
        <v>2</v>
      </c>
    </row>
    <row r="68" spans="1:6" ht="15.6" hidden="1">
      <c r="A68" s="2" t="s">
        <v>344</v>
      </c>
      <c r="B68" t="s">
        <v>55</v>
      </c>
      <c r="C68">
        <v>128</v>
      </c>
      <c r="D68" t="s">
        <v>53</v>
      </c>
      <c r="E68" t="s">
        <v>195</v>
      </c>
      <c r="F68" s="5">
        <v>14</v>
      </c>
    </row>
    <row r="69" spans="1:6" ht="15.6" hidden="1">
      <c r="A69" s="2" t="s">
        <v>357</v>
      </c>
      <c r="B69" t="s">
        <v>55</v>
      </c>
      <c r="C69">
        <v>128</v>
      </c>
      <c r="D69" t="s">
        <v>53</v>
      </c>
      <c r="E69" t="s">
        <v>195</v>
      </c>
      <c r="F69" s="5" t="s">
        <v>255</v>
      </c>
    </row>
    <row r="70" spans="1:6" ht="15.6" hidden="1">
      <c r="A70" s="2" t="s">
        <v>253</v>
      </c>
      <c r="B70" t="s">
        <v>52</v>
      </c>
      <c r="C70">
        <v>8</v>
      </c>
      <c r="D70" t="s">
        <v>53</v>
      </c>
      <c r="E70" t="s">
        <v>195</v>
      </c>
      <c r="F70" s="5" t="s">
        <v>255</v>
      </c>
    </row>
    <row r="71" spans="1:6" ht="15.6" hidden="1">
      <c r="A71" s="2" t="s">
        <v>254</v>
      </c>
      <c r="B71" t="s">
        <v>52</v>
      </c>
      <c r="C71">
        <v>8</v>
      </c>
      <c r="D71" t="s">
        <v>53</v>
      </c>
      <c r="E71" t="s">
        <v>195</v>
      </c>
      <c r="F71" s="5" t="s">
        <v>256</v>
      </c>
    </row>
    <row r="72" spans="1:6" ht="15.6" hidden="1">
      <c r="A72" s="2" t="s">
        <v>308</v>
      </c>
      <c r="B72" t="s">
        <v>55</v>
      </c>
      <c r="C72" s="3">
        <v>16</v>
      </c>
      <c r="D72" t="s">
        <v>29</v>
      </c>
      <c r="E72" t="s">
        <v>195</v>
      </c>
      <c r="F72" s="5">
        <v>2</v>
      </c>
    </row>
    <row r="73" spans="1:6" ht="15.6" hidden="1">
      <c r="A73" s="2" t="s">
        <v>345</v>
      </c>
      <c r="B73" t="s">
        <v>52</v>
      </c>
      <c r="C73">
        <v>8</v>
      </c>
      <c r="D73" t="s">
        <v>53</v>
      </c>
      <c r="E73" t="s">
        <v>195</v>
      </c>
      <c r="F73" s="5">
        <v>14</v>
      </c>
    </row>
    <row r="74" spans="1:6" ht="15.6" hidden="1">
      <c r="A74" s="2" t="s">
        <v>330</v>
      </c>
      <c r="B74" t="s">
        <v>52</v>
      </c>
      <c r="C74">
        <v>8</v>
      </c>
      <c r="D74" t="s">
        <v>53</v>
      </c>
      <c r="E74" t="s">
        <v>195</v>
      </c>
      <c r="F74" s="5" t="s">
        <v>331</v>
      </c>
    </row>
    <row r="75" spans="1:6" ht="15.6" hidden="1">
      <c r="A75" s="2" t="s">
        <v>346</v>
      </c>
      <c r="B75" t="s">
        <v>55</v>
      </c>
      <c r="C75">
        <v>128</v>
      </c>
      <c r="D75" t="s">
        <v>53</v>
      </c>
      <c r="E75" t="s">
        <v>195</v>
      </c>
      <c r="F75" s="5">
        <v>1</v>
      </c>
    </row>
    <row r="76" spans="1:6" ht="15.6" hidden="1">
      <c r="A76" s="2" t="s">
        <v>347</v>
      </c>
      <c r="B76" t="s">
        <v>52</v>
      </c>
      <c r="C76">
        <v>8</v>
      </c>
      <c r="D76" t="s">
        <v>53</v>
      </c>
      <c r="E76" t="s">
        <v>195</v>
      </c>
      <c r="F76" s="5">
        <v>1</v>
      </c>
    </row>
    <row r="77" spans="1:6" ht="15.6" hidden="1">
      <c r="A77" s="2" t="s">
        <v>222</v>
      </c>
      <c r="B77" t="s">
        <v>55</v>
      </c>
      <c r="C77" s="3">
        <v>128</v>
      </c>
      <c r="D77" t="s">
        <v>53</v>
      </c>
      <c r="E77" t="s">
        <v>195</v>
      </c>
      <c r="F77" s="5">
        <v>9</v>
      </c>
    </row>
    <row r="78" spans="1:6" ht="15.6" hidden="1">
      <c r="A78" s="2" t="s">
        <v>348</v>
      </c>
      <c r="B78" t="s">
        <v>55</v>
      </c>
      <c r="C78" s="3">
        <v>16</v>
      </c>
      <c r="D78" t="s">
        <v>29</v>
      </c>
      <c r="E78" t="s">
        <v>195</v>
      </c>
      <c r="F78" s="5">
        <v>2</v>
      </c>
    </row>
    <row r="79" spans="1:6" ht="15.6" hidden="1">
      <c r="A79" s="2" t="s">
        <v>677</v>
      </c>
      <c r="B79" t="s">
        <v>55</v>
      </c>
      <c r="C79">
        <v>128</v>
      </c>
      <c r="D79" t="s">
        <v>53</v>
      </c>
      <c r="E79" t="s">
        <v>195</v>
      </c>
      <c r="F79" s="5" t="s">
        <v>359</v>
      </c>
    </row>
    <row r="80" spans="1:6" ht="15.6" hidden="1">
      <c r="A80" s="2" t="s">
        <v>349</v>
      </c>
      <c r="B80" t="s">
        <v>55</v>
      </c>
      <c r="C80">
        <v>128</v>
      </c>
      <c r="D80" t="s">
        <v>53</v>
      </c>
      <c r="E80" t="s">
        <v>195</v>
      </c>
      <c r="F80" s="5" t="s">
        <v>334</v>
      </c>
    </row>
    <row r="81" spans="1:6" ht="15.6" hidden="1">
      <c r="A81" s="2" t="s">
        <v>350</v>
      </c>
      <c r="B81" t="s">
        <v>55</v>
      </c>
      <c r="C81">
        <v>128</v>
      </c>
      <c r="D81" t="s">
        <v>53</v>
      </c>
      <c r="E81" t="s">
        <v>195</v>
      </c>
      <c r="F81" s="5">
        <v>14</v>
      </c>
    </row>
    <row r="82" spans="1:6" ht="15.6" hidden="1">
      <c r="A82" s="2" t="s">
        <v>351</v>
      </c>
      <c r="B82" t="s">
        <v>55</v>
      </c>
      <c r="C82">
        <v>128</v>
      </c>
      <c r="D82" t="s">
        <v>53</v>
      </c>
      <c r="E82" t="s">
        <v>195</v>
      </c>
      <c r="F82" s="5">
        <v>1</v>
      </c>
    </row>
    <row r="83" spans="1:6" ht="15.6" hidden="1">
      <c r="A83" s="2" t="s">
        <v>332</v>
      </c>
      <c r="B83" t="s">
        <v>52</v>
      </c>
      <c r="C83" s="3">
        <v>8</v>
      </c>
      <c r="D83" t="s">
        <v>53</v>
      </c>
      <c r="E83" t="s">
        <v>195</v>
      </c>
      <c r="F83" s="5" t="s">
        <v>223</v>
      </c>
    </row>
    <row r="84" spans="1:6" ht="15.6" hidden="1">
      <c r="A84" s="2" t="s">
        <v>352</v>
      </c>
      <c r="B84" t="s">
        <v>55</v>
      </c>
      <c r="C84">
        <v>128</v>
      </c>
      <c r="D84" t="s">
        <v>53</v>
      </c>
      <c r="E84" t="s">
        <v>195</v>
      </c>
      <c r="F84" s="5">
        <v>2</v>
      </c>
    </row>
    <row r="85" spans="1:6" ht="15.6" hidden="1">
      <c r="A85" s="2" t="s">
        <v>353</v>
      </c>
      <c r="B85" t="s">
        <v>55</v>
      </c>
      <c r="C85">
        <v>128</v>
      </c>
      <c r="D85" t="s">
        <v>53</v>
      </c>
      <c r="E85" t="s">
        <v>195</v>
      </c>
      <c r="F85" s="5">
        <v>2</v>
      </c>
    </row>
    <row r="86" spans="1:6" ht="15.6" hidden="1">
      <c r="A86" s="2" t="s">
        <v>149</v>
      </c>
      <c r="B86" t="s">
        <v>52</v>
      </c>
      <c r="C86" s="3">
        <v>8</v>
      </c>
      <c r="D86" t="s">
        <v>53</v>
      </c>
      <c r="E86" t="s">
        <v>195</v>
      </c>
      <c r="F86" s="5">
        <v>14</v>
      </c>
    </row>
    <row r="87" spans="1:6" ht="15.6" hidden="1">
      <c r="A87" s="2" t="s">
        <v>205</v>
      </c>
      <c r="B87" t="s">
        <v>55</v>
      </c>
      <c r="C87">
        <v>128</v>
      </c>
      <c r="D87" t="s">
        <v>53</v>
      </c>
      <c r="E87" t="s">
        <v>195</v>
      </c>
      <c r="F87" s="5">
        <v>14</v>
      </c>
    </row>
    <row r="88" spans="1:6" ht="15.6" hidden="1">
      <c r="A88" s="2" t="s">
        <v>354</v>
      </c>
      <c r="B88" t="s">
        <v>55</v>
      </c>
      <c r="C88">
        <v>128</v>
      </c>
      <c r="D88" t="s">
        <v>53</v>
      </c>
      <c r="E88" t="s">
        <v>195</v>
      </c>
      <c r="F88" s="5">
        <v>1</v>
      </c>
    </row>
    <row r="89" spans="1:6" ht="15.6" hidden="1">
      <c r="A89" s="2" t="s">
        <v>218</v>
      </c>
      <c r="B89" t="s">
        <v>52</v>
      </c>
      <c r="C89">
        <v>8</v>
      </c>
      <c r="D89" t="s">
        <v>53</v>
      </c>
      <c r="E89" t="s">
        <v>195</v>
      </c>
      <c r="F89" s="5" t="s">
        <v>234</v>
      </c>
    </row>
    <row r="90" spans="1:6" ht="15.6" hidden="1">
      <c r="A90" s="2" t="s">
        <v>336</v>
      </c>
      <c r="B90" t="s">
        <v>55</v>
      </c>
      <c r="C90" s="3">
        <v>16</v>
      </c>
      <c r="D90" t="s">
        <v>29</v>
      </c>
      <c r="E90" t="s">
        <v>195</v>
      </c>
      <c r="F90" s="5" t="s">
        <v>233</v>
      </c>
    </row>
    <row r="91" spans="1:6" ht="15.6" hidden="1">
      <c r="A91" s="2" t="s">
        <v>673</v>
      </c>
      <c r="B91" t="s">
        <v>55</v>
      </c>
      <c r="C91" s="3">
        <v>128</v>
      </c>
      <c r="D91" t="s">
        <v>53</v>
      </c>
      <c r="E91" t="s">
        <v>195</v>
      </c>
      <c r="F91" s="5" t="s">
        <v>674</v>
      </c>
    </row>
    <row r="92" spans="1:6" ht="15.6" hidden="1">
      <c r="A92" s="2" t="s">
        <v>355</v>
      </c>
      <c r="B92" t="s">
        <v>52</v>
      </c>
      <c r="C92" s="3">
        <v>8</v>
      </c>
      <c r="D92" t="s">
        <v>53</v>
      </c>
      <c r="E92" t="s">
        <v>195</v>
      </c>
      <c r="F92" s="5">
        <v>14</v>
      </c>
    </row>
    <row r="93" spans="1:6" ht="15.6" hidden="1">
      <c r="A93" s="2" t="s">
        <v>340</v>
      </c>
      <c r="B93" t="s">
        <v>55</v>
      </c>
      <c r="C93">
        <v>128</v>
      </c>
      <c r="D93" t="s">
        <v>53</v>
      </c>
      <c r="E93" t="s">
        <v>195</v>
      </c>
      <c r="F93" s="5" t="s">
        <v>223</v>
      </c>
    </row>
    <row r="94" spans="1:6" ht="15.6" hidden="1">
      <c r="A94" s="2" t="s">
        <v>358</v>
      </c>
      <c r="B94" t="s">
        <v>55</v>
      </c>
      <c r="C94">
        <v>128</v>
      </c>
      <c r="D94" t="s">
        <v>53</v>
      </c>
      <c r="E94" t="s">
        <v>195</v>
      </c>
      <c r="F94" s="5" t="s">
        <v>255</v>
      </c>
    </row>
    <row r="95" spans="1:6" ht="15.6">
      <c r="A95" s="596" t="s">
        <v>737</v>
      </c>
      <c r="B95" s="596" t="s">
        <v>737</v>
      </c>
      <c r="C95" s="597">
        <v>0</v>
      </c>
      <c r="D95" s="596" t="s">
        <v>737</v>
      </c>
      <c r="E95" s="596" t="s">
        <v>737</v>
      </c>
      <c r="F95" s="597">
        <v>0</v>
      </c>
    </row>
    <row r="96" spans="1:6" ht="15.6">
      <c r="A96" s="596" t="s">
        <v>737</v>
      </c>
      <c r="B96" s="596" t="s">
        <v>737</v>
      </c>
      <c r="C96" s="597">
        <v>0</v>
      </c>
      <c r="D96" s="596" t="s">
        <v>737</v>
      </c>
      <c r="E96" s="596" t="s">
        <v>737</v>
      </c>
      <c r="F96" s="597">
        <v>0</v>
      </c>
    </row>
    <row r="97" spans="1:6" ht="15.6">
      <c r="A97" s="596" t="s">
        <v>737</v>
      </c>
      <c r="B97" s="596" t="s">
        <v>737</v>
      </c>
      <c r="C97" s="597">
        <v>0</v>
      </c>
      <c r="D97" s="596" t="s">
        <v>737</v>
      </c>
      <c r="E97" s="596" t="s">
        <v>737</v>
      </c>
      <c r="F97" s="597">
        <v>0</v>
      </c>
    </row>
    <row r="98" spans="1:6" ht="15.6">
      <c r="A98" s="596" t="s">
        <v>737</v>
      </c>
      <c r="B98" s="596" t="s">
        <v>737</v>
      </c>
      <c r="C98" s="597">
        <v>0</v>
      </c>
      <c r="D98" s="596" t="s">
        <v>737</v>
      </c>
      <c r="E98" s="596" t="s">
        <v>737</v>
      </c>
      <c r="F98" s="597">
        <v>0</v>
      </c>
    </row>
    <row r="99" spans="1:6" ht="15.6">
      <c r="A99" s="596" t="s">
        <v>737</v>
      </c>
      <c r="B99" s="596" t="s">
        <v>737</v>
      </c>
      <c r="C99" s="597">
        <v>0</v>
      </c>
      <c r="D99" s="596" t="s">
        <v>737</v>
      </c>
      <c r="E99" s="596" t="s">
        <v>737</v>
      </c>
      <c r="F99" s="597">
        <v>0</v>
      </c>
    </row>
    <row r="100" spans="1:6" ht="15.6">
      <c r="A100" s="596" t="s">
        <v>737</v>
      </c>
      <c r="B100" s="596" t="s">
        <v>737</v>
      </c>
      <c r="C100" s="597">
        <v>0</v>
      </c>
      <c r="D100" s="596" t="s">
        <v>737</v>
      </c>
      <c r="E100" s="596" t="s">
        <v>737</v>
      </c>
      <c r="F100" s="597">
        <v>0</v>
      </c>
    </row>
    <row r="101" spans="1:6" ht="15.6">
      <c r="A101" s="596" t="s">
        <v>737</v>
      </c>
      <c r="B101" s="596" t="s">
        <v>737</v>
      </c>
      <c r="C101" s="597">
        <v>0</v>
      </c>
      <c r="D101" s="596" t="s">
        <v>737</v>
      </c>
      <c r="E101" s="596" t="s">
        <v>737</v>
      </c>
      <c r="F101" s="597">
        <v>0</v>
      </c>
    </row>
    <row r="102" spans="1:6" ht="15.6">
      <c r="A102" s="596" t="s">
        <v>737</v>
      </c>
      <c r="B102" s="596" t="s">
        <v>737</v>
      </c>
      <c r="C102" s="597">
        <v>0</v>
      </c>
      <c r="D102" s="596" t="s">
        <v>737</v>
      </c>
      <c r="E102" s="596" t="s">
        <v>737</v>
      </c>
      <c r="F102" s="597">
        <v>0</v>
      </c>
    </row>
    <row r="104" spans="1:6" ht="18">
      <c r="A104" s="1010" t="s">
        <v>449</v>
      </c>
      <c r="B104" s="1010"/>
      <c r="C104" s="1010"/>
      <c r="D104" s="1010"/>
    </row>
    <row r="105" spans="1:6">
      <c r="A105" s="605" t="s">
        <v>46</v>
      </c>
      <c r="B105" s="599" t="s">
        <v>49</v>
      </c>
      <c r="C105" s="599" t="s">
        <v>48</v>
      </c>
      <c r="D105" s="599" t="s">
        <v>47</v>
      </c>
    </row>
    <row r="106" spans="1:6" ht="15.6" hidden="1">
      <c r="A106" s="2" t="s">
        <v>13</v>
      </c>
      <c r="C106" s="3">
        <v>1</v>
      </c>
      <c r="D106" t="s">
        <v>13</v>
      </c>
    </row>
    <row r="107" spans="1:6" hidden="1">
      <c r="A107" t="s">
        <v>441</v>
      </c>
      <c r="B107" t="s">
        <v>55</v>
      </c>
      <c r="C107" s="3">
        <v>128</v>
      </c>
      <c r="D107" t="s">
        <v>24</v>
      </c>
    </row>
    <row r="108" spans="1:6" hidden="1">
      <c r="A108" t="s">
        <v>442</v>
      </c>
      <c r="B108" t="s">
        <v>55</v>
      </c>
      <c r="C108" s="3">
        <v>128</v>
      </c>
      <c r="D108" t="s">
        <v>24</v>
      </c>
    </row>
    <row r="109" spans="1:6" hidden="1">
      <c r="A109" t="s">
        <v>433</v>
      </c>
      <c r="B109" t="s">
        <v>55</v>
      </c>
      <c r="C109" s="3">
        <v>128</v>
      </c>
      <c r="D109" t="s">
        <v>24</v>
      </c>
    </row>
    <row r="110" spans="1:6" hidden="1">
      <c r="A110" t="s">
        <v>436</v>
      </c>
      <c r="B110" t="s">
        <v>55</v>
      </c>
      <c r="C110" s="3">
        <v>128</v>
      </c>
      <c r="D110" t="s">
        <v>24</v>
      </c>
    </row>
    <row r="111" spans="1:6" hidden="1">
      <c r="A111" t="s">
        <v>443</v>
      </c>
      <c r="B111" t="s">
        <v>55</v>
      </c>
      <c r="C111" s="3">
        <v>128</v>
      </c>
      <c r="D111" t="s">
        <v>24</v>
      </c>
    </row>
    <row r="112" spans="1:6" hidden="1">
      <c r="A112" t="s">
        <v>435</v>
      </c>
      <c r="B112" t="s">
        <v>55</v>
      </c>
      <c r="C112" s="3">
        <v>128</v>
      </c>
      <c r="D112" t="s">
        <v>24</v>
      </c>
    </row>
    <row r="113" spans="1:4" hidden="1">
      <c r="A113" t="s">
        <v>437</v>
      </c>
      <c r="B113" t="s">
        <v>55</v>
      </c>
      <c r="C113" s="3">
        <v>128</v>
      </c>
      <c r="D113" t="s">
        <v>24</v>
      </c>
    </row>
    <row r="114" spans="1:4" hidden="1">
      <c r="A114" t="s">
        <v>434</v>
      </c>
      <c r="B114" t="s">
        <v>55</v>
      </c>
      <c r="C114" s="3">
        <v>128</v>
      </c>
      <c r="D114" t="s">
        <v>24</v>
      </c>
    </row>
    <row r="115" spans="1:4" hidden="1">
      <c r="A115" t="s">
        <v>444</v>
      </c>
      <c r="B115" t="s">
        <v>55</v>
      </c>
      <c r="C115" s="3">
        <v>128</v>
      </c>
      <c r="D115" t="s">
        <v>24</v>
      </c>
    </row>
    <row r="116" spans="1:4" hidden="1">
      <c r="A116" t="s">
        <v>445</v>
      </c>
      <c r="B116" t="s">
        <v>55</v>
      </c>
      <c r="C116" s="3">
        <v>128</v>
      </c>
      <c r="D116" t="s">
        <v>24</v>
      </c>
    </row>
    <row r="117" spans="1:4" hidden="1">
      <c r="A117" t="s">
        <v>74</v>
      </c>
      <c r="B117" t="s">
        <v>55</v>
      </c>
      <c r="C117" s="3">
        <v>128</v>
      </c>
      <c r="D117" t="s">
        <v>24</v>
      </c>
    </row>
    <row r="118" spans="1:4" hidden="1">
      <c r="A118" t="s">
        <v>438</v>
      </c>
      <c r="B118" t="s">
        <v>55</v>
      </c>
      <c r="C118" s="3">
        <v>128</v>
      </c>
      <c r="D118" t="s">
        <v>24</v>
      </c>
    </row>
    <row r="119" spans="1:4" hidden="1">
      <c r="A119" t="s">
        <v>439</v>
      </c>
      <c r="B119" t="s">
        <v>55</v>
      </c>
      <c r="C119" s="3">
        <v>128</v>
      </c>
      <c r="D119" t="s">
        <v>24</v>
      </c>
    </row>
    <row r="120" spans="1:4" hidden="1">
      <c r="A120" t="s">
        <v>446</v>
      </c>
      <c r="B120" t="s">
        <v>55</v>
      </c>
      <c r="C120" s="3">
        <v>128</v>
      </c>
      <c r="D120" t="s">
        <v>24</v>
      </c>
    </row>
    <row r="121" spans="1:4" hidden="1">
      <c r="A121" t="s">
        <v>75</v>
      </c>
      <c r="B121" t="s">
        <v>55</v>
      </c>
      <c r="C121" s="3">
        <v>128</v>
      </c>
      <c r="D121" t="s">
        <v>24</v>
      </c>
    </row>
    <row r="122" spans="1:4" hidden="1">
      <c r="A122" t="s">
        <v>440</v>
      </c>
      <c r="B122" t="s">
        <v>55</v>
      </c>
      <c r="C122" s="3">
        <v>128</v>
      </c>
      <c r="D122" t="s">
        <v>24</v>
      </c>
    </row>
    <row r="123" spans="1:4" hidden="1">
      <c r="A123" t="s">
        <v>447</v>
      </c>
      <c r="B123" t="s">
        <v>55</v>
      </c>
      <c r="C123" s="3">
        <v>128</v>
      </c>
      <c r="D123" t="s">
        <v>24</v>
      </c>
    </row>
    <row r="124" spans="1:4" ht="15.6">
      <c r="A124" s="596" t="s">
        <v>737</v>
      </c>
      <c r="B124" s="596" t="s">
        <v>737</v>
      </c>
      <c r="C124" s="604">
        <v>0</v>
      </c>
      <c r="D124" s="596" t="s">
        <v>737</v>
      </c>
    </row>
    <row r="125" spans="1:4" ht="15.6">
      <c r="A125" s="596" t="s">
        <v>737</v>
      </c>
      <c r="B125" s="596" t="s">
        <v>737</v>
      </c>
      <c r="C125" s="604">
        <v>0</v>
      </c>
      <c r="D125" s="596" t="s">
        <v>737</v>
      </c>
    </row>
    <row r="126" spans="1:4" ht="15.6">
      <c r="A126" s="596" t="s">
        <v>737</v>
      </c>
      <c r="B126" s="596" t="s">
        <v>737</v>
      </c>
      <c r="C126" s="604">
        <v>0</v>
      </c>
      <c r="D126" s="596" t="s">
        <v>737</v>
      </c>
    </row>
    <row r="127" spans="1:4" ht="15.6">
      <c r="A127" s="596" t="s">
        <v>737</v>
      </c>
      <c r="B127" s="596" t="s">
        <v>737</v>
      </c>
      <c r="C127" s="604">
        <v>0</v>
      </c>
      <c r="D127" s="596" t="s">
        <v>737</v>
      </c>
    </row>
    <row r="128" spans="1:4" ht="15.6">
      <c r="A128" s="596" t="s">
        <v>737</v>
      </c>
      <c r="B128" s="596" t="s">
        <v>737</v>
      </c>
      <c r="C128" s="604">
        <v>0</v>
      </c>
      <c r="D128" s="596" t="s">
        <v>737</v>
      </c>
    </row>
    <row r="129" spans="1:15" ht="15.6">
      <c r="A129" s="596" t="s">
        <v>737</v>
      </c>
      <c r="B129" s="596" t="s">
        <v>737</v>
      </c>
      <c r="C129" s="604">
        <v>0</v>
      </c>
      <c r="D129" s="596" t="s">
        <v>737</v>
      </c>
    </row>
    <row r="131" spans="1:15" ht="18">
      <c r="A131" s="1010" t="s">
        <v>494</v>
      </c>
      <c r="B131" s="1010"/>
      <c r="C131" s="1010"/>
      <c r="D131" s="1010"/>
    </row>
    <row r="132" spans="1:15">
      <c r="A132" s="605" t="s">
        <v>46</v>
      </c>
      <c r="B132" s="599" t="s">
        <v>49</v>
      </c>
      <c r="C132" s="599" t="s">
        <v>48</v>
      </c>
      <c r="D132" s="599" t="s">
        <v>47</v>
      </c>
    </row>
    <row r="133" spans="1:15" ht="15.6" hidden="1">
      <c r="A133" s="2" t="s">
        <v>13</v>
      </c>
      <c r="C133" s="3">
        <v>1</v>
      </c>
      <c r="D133" t="s">
        <v>13</v>
      </c>
    </row>
    <row r="134" spans="1:15" hidden="1">
      <c r="A134" t="s">
        <v>162</v>
      </c>
      <c r="B134" t="s">
        <v>52</v>
      </c>
      <c r="C134" s="3">
        <v>8</v>
      </c>
      <c r="D134" t="s">
        <v>53</v>
      </c>
    </row>
    <row r="135" spans="1:15" hidden="1">
      <c r="A135" t="s">
        <v>163</v>
      </c>
      <c r="B135" t="s">
        <v>55</v>
      </c>
      <c r="C135" s="3">
        <v>1</v>
      </c>
      <c r="D135" t="s">
        <v>53</v>
      </c>
    </row>
    <row r="136" spans="1:15" hidden="1">
      <c r="A136" t="s">
        <v>164</v>
      </c>
      <c r="B136" t="s">
        <v>58</v>
      </c>
      <c r="C136" s="3">
        <v>1</v>
      </c>
      <c r="D136" t="s">
        <v>29</v>
      </c>
    </row>
    <row r="137" spans="1:15" hidden="1">
      <c r="A137" t="s">
        <v>165</v>
      </c>
      <c r="B137" t="s">
        <v>50</v>
      </c>
      <c r="C137" s="3">
        <v>4</v>
      </c>
      <c r="D137" t="s">
        <v>53</v>
      </c>
    </row>
    <row r="138" spans="1:15" hidden="1"/>
    <row r="139" spans="1:15" hidden="1"/>
    <row r="140" spans="1:15" ht="15.6" hidden="1">
      <c r="A140" s="2" t="s">
        <v>13</v>
      </c>
      <c r="C140" s="3">
        <v>1</v>
      </c>
      <c r="D140" t="s">
        <v>13</v>
      </c>
    </row>
    <row r="141" spans="1:15" ht="18" hidden="1">
      <c r="A141" s="169" t="s">
        <v>963</v>
      </c>
      <c r="B141" s="169" t="s">
        <v>58</v>
      </c>
      <c r="C141" s="782">
        <v>1</v>
      </c>
      <c r="D141" s="169" t="s">
        <v>29</v>
      </c>
      <c r="E141" s="169" t="s">
        <v>864</v>
      </c>
      <c r="F141" s="169" t="s">
        <v>964</v>
      </c>
      <c r="G141" s="169"/>
      <c r="H141" s="169"/>
      <c r="I141" s="169"/>
      <c r="J141" s="169"/>
      <c r="K141" s="169"/>
      <c r="L141" s="169"/>
      <c r="M141" s="169"/>
      <c r="N141" s="169"/>
      <c r="O141" s="169"/>
    </row>
    <row r="142" spans="1:15" ht="18" hidden="1">
      <c r="A142" s="169" t="s">
        <v>965</v>
      </c>
      <c r="B142" s="169" t="s">
        <v>58</v>
      </c>
      <c r="C142" s="782">
        <v>1</v>
      </c>
      <c r="D142" s="169" t="s">
        <v>29</v>
      </c>
      <c r="E142" s="169" t="s">
        <v>864</v>
      </c>
      <c r="F142" s="169" t="s">
        <v>964</v>
      </c>
      <c r="G142" s="169"/>
      <c r="H142" s="169"/>
      <c r="I142" s="169"/>
      <c r="J142" s="169"/>
      <c r="K142" s="169"/>
      <c r="L142" s="169"/>
      <c r="M142" s="169"/>
      <c r="N142" s="169"/>
      <c r="O142" s="169"/>
    </row>
    <row r="143" spans="1:15" ht="18" hidden="1">
      <c r="A143" s="169" t="s">
        <v>966</v>
      </c>
      <c r="B143" s="169" t="s">
        <v>55</v>
      </c>
      <c r="C143" s="782">
        <v>128</v>
      </c>
      <c r="D143" s="169" t="s">
        <v>53</v>
      </c>
      <c r="E143" s="169" t="s">
        <v>864</v>
      </c>
      <c r="F143" s="783" t="s">
        <v>967</v>
      </c>
      <c r="G143" s="169"/>
      <c r="H143" s="169"/>
      <c r="I143" s="169"/>
      <c r="J143" s="169"/>
      <c r="K143" s="169"/>
      <c r="L143" s="169"/>
      <c r="M143" s="169"/>
      <c r="N143" s="169"/>
      <c r="O143" s="169"/>
    </row>
    <row r="144" spans="1:15" ht="18" hidden="1">
      <c r="A144" s="169" t="s">
        <v>968</v>
      </c>
      <c r="B144" s="169" t="s">
        <v>55</v>
      </c>
      <c r="C144" s="782">
        <v>128</v>
      </c>
      <c r="D144" s="169" t="s">
        <v>53</v>
      </c>
      <c r="E144" s="169" t="s">
        <v>864</v>
      </c>
      <c r="F144" s="783" t="s">
        <v>967</v>
      </c>
      <c r="G144" s="169"/>
      <c r="H144" s="169"/>
      <c r="I144" s="169"/>
      <c r="J144" s="169"/>
      <c r="K144" s="169"/>
      <c r="L144" s="169"/>
      <c r="M144" s="169"/>
      <c r="N144" s="169"/>
      <c r="O144" s="169"/>
    </row>
    <row r="145" spans="1:15" ht="18" hidden="1">
      <c r="A145" s="169" t="s">
        <v>969</v>
      </c>
      <c r="B145" s="169" t="s">
        <v>58</v>
      </c>
      <c r="C145" s="782">
        <v>1</v>
      </c>
      <c r="D145" s="169" t="s">
        <v>29</v>
      </c>
      <c r="E145" s="169" t="s">
        <v>864</v>
      </c>
      <c r="F145" s="783" t="s">
        <v>865</v>
      </c>
      <c r="G145" s="169"/>
      <c r="H145" s="169"/>
      <c r="I145" s="169"/>
      <c r="J145" s="169"/>
      <c r="K145" s="169"/>
      <c r="L145" s="169"/>
      <c r="M145" s="169"/>
      <c r="N145" s="169"/>
      <c r="O145" s="169"/>
    </row>
    <row r="146" spans="1:15" ht="18" hidden="1">
      <c r="A146" s="169" t="s">
        <v>970</v>
      </c>
      <c r="B146" s="169" t="s">
        <v>55</v>
      </c>
      <c r="C146" s="782">
        <v>128</v>
      </c>
      <c r="D146" s="169" t="s">
        <v>53</v>
      </c>
      <c r="E146" s="169" t="s">
        <v>864</v>
      </c>
      <c r="F146" s="169" t="s">
        <v>971</v>
      </c>
      <c r="G146" s="169"/>
      <c r="H146" s="169"/>
      <c r="I146" s="169"/>
      <c r="J146" s="169"/>
      <c r="K146" s="169"/>
      <c r="L146" s="169"/>
      <c r="M146" s="169"/>
      <c r="N146" s="169"/>
      <c r="O146" s="169"/>
    </row>
    <row r="147" spans="1:15" ht="18" hidden="1">
      <c r="A147" s="169" t="s">
        <v>972</v>
      </c>
      <c r="B147" s="169" t="s">
        <v>55</v>
      </c>
      <c r="C147" s="782">
        <v>128</v>
      </c>
      <c r="D147" s="169" t="s">
        <v>53</v>
      </c>
      <c r="E147" s="169" t="s">
        <v>864</v>
      </c>
      <c r="F147" s="783" t="s">
        <v>967</v>
      </c>
      <c r="G147" s="169"/>
      <c r="H147" s="169"/>
      <c r="I147" s="169"/>
      <c r="J147" s="169"/>
      <c r="K147" s="169"/>
      <c r="L147" s="169"/>
      <c r="M147" s="169"/>
      <c r="N147" s="169"/>
      <c r="O147" s="169"/>
    </row>
    <row r="148" spans="1:15" ht="18" hidden="1">
      <c r="A148" s="169" t="s">
        <v>973</v>
      </c>
      <c r="B148" s="169" t="s">
        <v>52</v>
      </c>
      <c r="C148" s="782">
        <v>8</v>
      </c>
      <c r="D148" s="169" t="s">
        <v>53</v>
      </c>
      <c r="E148" s="169" t="s">
        <v>864</v>
      </c>
      <c r="F148" s="783" t="s">
        <v>870</v>
      </c>
      <c r="G148" s="169"/>
      <c r="H148" s="169"/>
      <c r="I148" s="169"/>
      <c r="J148" s="169"/>
      <c r="K148" s="169"/>
      <c r="L148" s="169"/>
      <c r="M148" s="169"/>
      <c r="N148" s="169"/>
      <c r="O148" s="169"/>
    </row>
    <row r="149" spans="1:15" ht="18" hidden="1">
      <c r="A149" s="169" t="s">
        <v>872</v>
      </c>
      <c r="B149" s="169" t="s">
        <v>55</v>
      </c>
      <c r="C149" s="782">
        <v>128</v>
      </c>
      <c r="D149" s="169" t="s">
        <v>53</v>
      </c>
      <c r="E149" s="169" t="s">
        <v>864</v>
      </c>
      <c r="F149" s="783" t="s">
        <v>873</v>
      </c>
      <c r="G149" s="169"/>
      <c r="H149" s="169"/>
      <c r="I149" s="169"/>
      <c r="J149" s="169"/>
      <c r="K149" s="169"/>
      <c r="L149" s="169"/>
      <c r="M149" s="169"/>
      <c r="N149" s="169"/>
      <c r="O149" s="169"/>
    </row>
    <row r="150" spans="1:15" ht="18" hidden="1">
      <c r="A150" s="169" t="s">
        <v>483</v>
      </c>
      <c r="B150" s="169" t="s">
        <v>55</v>
      </c>
      <c r="C150" s="782">
        <v>128</v>
      </c>
      <c r="D150" s="169" t="s">
        <v>53</v>
      </c>
      <c r="E150" s="169" t="s">
        <v>864</v>
      </c>
      <c r="F150" s="783" t="s">
        <v>874</v>
      </c>
      <c r="G150" s="169"/>
      <c r="H150" s="169"/>
      <c r="I150" s="169"/>
      <c r="J150" s="169"/>
      <c r="K150" s="169"/>
      <c r="L150" s="169"/>
      <c r="M150" s="169"/>
      <c r="N150" s="169"/>
      <c r="O150" s="169"/>
    </row>
    <row r="151" spans="1:15" ht="18" hidden="1">
      <c r="A151" s="169" t="s">
        <v>484</v>
      </c>
      <c r="B151" s="169" t="s">
        <v>55</v>
      </c>
      <c r="C151" s="782">
        <v>128</v>
      </c>
      <c r="D151" s="169" t="s">
        <v>53</v>
      </c>
      <c r="E151" s="169" t="s">
        <v>864</v>
      </c>
      <c r="F151" s="169" t="s">
        <v>974</v>
      </c>
      <c r="G151" s="169"/>
      <c r="H151" s="169"/>
      <c r="I151" s="169"/>
      <c r="J151" s="169"/>
      <c r="K151" s="169"/>
      <c r="L151" s="169"/>
      <c r="M151" s="169"/>
      <c r="N151" s="169"/>
      <c r="O151" s="169"/>
    </row>
    <row r="152" spans="1:15" ht="18" hidden="1">
      <c r="A152" s="169" t="s">
        <v>879</v>
      </c>
      <c r="B152" s="169" t="s">
        <v>55</v>
      </c>
      <c r="C152" s="782">
        <v>128</v>
      </c>
      <c r="D152" s="169" t="s">
        <v>53</v>
      </c>
      <c r="E152" s="169" t="s">
        <v>864</v>
      </c>
      <c r="F152" s="783" t="s">
        <v>880</v>
      </c>
      <c r="G152" s="169"/>
      <c r="H152" s="169"/>
      <c r="I152" s="169"/>
      <c r="J152" s="169"/>
      <c r="K152" s="169"/>
      <c r="L152" s="169"/>
      <c r="M152" s="169"/>
      <c r="N152" s="169"/>
      <c r="O152" s="169"/>
    </row>
    <row r="153" spans="1:15" ht="18" hidden="1">
      <c r="A153" s="169" t="s">
        <v>975</v>
      </c>
      <c r="B153" s="169" t="s">
        <v>55</v>
      </c>
      <c r="C153" s="782">
        <v>128</v>
      </c>
      <c r="D153" s="169" t="s">
        <v>53</v>
      </c>
      <c r="E153" s="169" t="s">
        <v>864</v>
      </c>
      <c r="F153" s="169" t="s">
        <v>868</v>
      </c>
      <c r="G153" s="169"/>
      <c r="H153" s="169"/>
      <c r="I153" s="169"/>
      <c r="J153" s="169"/>
      <c r="K153" s="169"/>
      <c r="L153" s="169"/>
      <c r="M153" s="169"/>
      <c r="N153" s="169"/>
      <c r="O153" s="169"/>
    </row>
    <row r="154" spans="1:15" ht="18" hidden="1">
      <c r="A154" s="169" t="s">
        <v>882</v>
      </c>
      <c r="B154" s="169" t="s">
        <v>55</v>
      </c>
      <c r="C154" s="782">
        <v>128</v>
      </c>
      <c r="D154" s="169" t="s">
        <v>53</v>
      </c>
      <c r="E154" s="169" t="s">
        <v>864</v>
      </c>
      <c r="F154" s="169" t="s">
        <v>868</v>
      </c>
      <c r="G154" s="169"/>
      <c r="H154" s="169"/>
      <c r="I154" s="169"/>
      <c r="J154" s="169"/>
      <c r="K154" s="169"/>
      <c r="L154" s="169"/>
      <c r="M154" s="169"/>
      <c r="N154" s="169"/>
      <c r="O154" s="169"/>
    </row>
    <row r="155" spans="1:15" ht="18" hidden="1">
      <c r="A155" s="169" t="s">
        <v>883</v>
      </c>
      <c r="B155" s="169" t="s">
        <v>58</v>
      </c>
      <c r="C155" s="782">
        <v>1</v>
      </c>
      <c r="D155" s="169" t="s">
        <v>29</v>
      </c>
      <c r="E155" s="169" t="s">
        <v>864</v>
      </c>
      <c r="F155" s="783" t="s">
        <v>865</v>
      </c>
      <c r="G155" s="169"/>
      <c r="H155" s="169"/>
      <c r="I155" s="169"/>
      <c r="J155" s="169"/>
      <c r="K155" s="169"/>
      <c r="L155" s="169"/>
      <c r="M155" s="169"/>
      <c r="N155" s="169"/>
      <c r="O155" s="169"/>
    </row>
    <row r="156" spans="1:15" ht="18" hidden="1">
      <c r="A156" s="169" t="s">
        <v>884</v>
      </c>
      <c r="B156" s="169" t="s">
        <v>55</v>
      </c>
      <c r="C156" s="782">
        <v>128</v>
      </c>
      <c r="D156" s="169" t="s">
        <v>53</v>
      </c>
      <c r="E156" s="169" t="s">
        <v>864</v>
      </c>
      <c r="F156" s="783" t="s">
        <v>885</v>
      </c>
      <c r="G156" s="169"/>
      <c r="H156" s="169"/>
      <c r="I156" s="169"/>
      <c r="J156" s="169"/>
      <c r="K156" s="169"/>
      <c r="L156" s="169"/>
      <c r="M156" s="169"/>
      <c r="N156" s="169"/>
      <c r="O156" s="169"/>
    </row>
    <row r="157" spans="1:15" ht="18" hidden="1">
      <c r="A157" s="169" t="s">
        <v>485</v>
      </c>
      <c r="B157" s="169" t="s">
        <v>55</v>
      </c>
      <c r="C157" s="782">
        <v>128</v>
      </c>
      <c r="D157" s="169" t="s">
        <v>53</v>
      </c>
      <c r="E157" s="169" t="s">
        <v>864</v>
      </c>
      <c r="F157" s="169" t="s">
        <v>868</v>
      </c>
      <c r="G157" s="169"/>
      <c r="H157" s="169"/>
      <c r="I157" s="169"/>
      <c r="J157" s="169"/>
      <c r="K157" s="169"/>
      <c r="L157" s="169"/>
      <c r="M157" s="169"/>
      <c r="N157" s="169"/>
      <c r="O157" s="169"/>
    </row>
    <row r="158" spans="1:15" ht="18" hidden="1">
      <c r="A158" s="169" t="s">
        <v>976</v>
      </c>
      <c r="B158" s="169" t="s">
        <v>55</v>
      </c>
      <c r="C158" s="782">
        <v>128</v>
      </c>
      <c r="D158" s="169" t="s">
        <v>53</v>
      </c>
      <c r="E158" s="169" t="s">
        <v>864</v>
      </c>
      <c r="F158" s="169" t="s">
        <v>977</v>
      </c>
      <c r="G158" s="169"/>
      <c r="H158" s="169"/>
      <c r="I158" s="169"/>
      <c r="J158" s="169"/>
      <c r="K158" s="169"/>
      <c r="L158" s="169"/>
      <c r="M158" s="169"/>
      <c r="N158" s="169"/>
      <c r="O158" s="169"/>
    </row>
    <row r="159" spans="1:15" ht="18" hidden="1">
      <c r="A159" s="169" t="s">
        <v>486</v>
      </c>
      <c r="B159" s="169" t="s">
        <v>50</v>
      </c>
      <c r="C159" s="782">
        <v>4</v>
      </c>
      <c r="D159" s="169" t="s">
        <v>53</v>
      </c>
      <c r="E159" s="169" t="s">
        <v>864</v>
      </c>
      <c r="F159" s="783" t="s">
        <v>887</v>
      </c>
      <c r="G159" s="169"/>
      <c r="H159" s="169"/>
      <c r="I159" s="169"/>
      <c r="J159" s="169"/>
      <c r="K159" s="169"/>
      <c r="L159" s="169"/>
      <c r="M159" s="169"/>
      <c r="N159" s="169"/>
      <c r="O159" s="169"/>
    </row>
    <row r="160" spans="1:15" ht="18" hidden="1">
      <c r="A160" s="169" t="s">
        <v>888</v>
      </c>
      <c r="B160" s="169" t="s">
        <v>55</v>
      </c>
      <c r="C160" s="782">
        <v>128</v>
      </c>
      <c r="D160" s="169" t="s">
        <v>53</v>
      </c>
      <c r="E160" s="169" t="s">
        <v>864</v>
      </c>
      <c r="F160" s="783" t="s">
        <v>889</v>
      </c>
      <c r="G160" s="169"/>
      <c r="H160" s="169"/>
      <c r="I160" s="169"/>
      <c r="J160" s="169"/>
      <c r="K160" s="169"/>
      <c r="L160" s="169"/>
      <c r="M160" s="169"/>
      <c r="N160" s="169"/>
      <c r="O160" s="169"/>
    </row>
    <row r="161" spans="1:15" ht="18" hidden="1">
      <c r="A161" s="169" t="s">
        <v>890</v>
      </c>
      <c r="B161" s="169" t="s">
        <v>52</v>
      </c>
      <c r="C161" s="782">
        <v>8</v>
      </c>
      <c r="D161" s="169" t="s">
        <v>53</v>
      </c>
      <c r="E161" s="169" t="s">
        <v>864</v>
      </c>
      <c r="F161" s="783" t="s">
        <v>870</v>
      </c>
      <c r="G161" s="169"/>
      <c r="H161" s="169"/>
      <c r="I161" s="169"/>
      <c r="J161" s="169"/>
      <c r="K161" s="169"/>
      <c r="L161" s="169"/>
      <c r="M161" s="169"/>
      <c r="N161" s="169"/>
      <c r="O161" s="169"/>
    </row>
    <row r="162" spans="1:15" ht="18" hidden="1">
      <c r="A162" s="169" t="s">
        <v>978</v>
      </c>
      <c r="B162" s="169" t="s">
        <v>58</v>
      </c>
      <c r="C162" s="782">
        <v>1</v>
      </c>
      <c r="D162" s="169" t="s">
        <v>29</v>
      </c>
      <c r="E162" s="169" t="s">
        <v>864</v>
      </c>
      <c r="F162" s="169" t="s">
        <v>894</v>
      </c>
      <c r="G162" s="169"/>
      <c r="H162" s="169"/>
      <c r="I162" s="169"/>
      <c r="J162" s="169"/>
      <c r="K162" s="169"/>
      <c r="L162" s="169"/>
      <c r="M162" s="169"/>
      <c r="N162" s="169"/>
      <c r="O162" s="169"/>
    </row>
    <row r="163" spans="1:15" ht="18" hidden="1">
      <c r="A163" s="169" t="s">
        <v>895</v>
      </c>
      <c r="B163" s="169" t="s">
        <v>55</v>
      </c>
      <c r="C163" s="782">
        <v>128</v>
      </c>
      <c r="D163" s="169" t="s">
        <v>53</v>
      </c>
      <c r="E163" s="169" t="s">
        <v>864</v>
      </c>
      <c r="F163" s="783" t="s">
        <v>896</v>
      </c>
      <c r="G163" s="169"/>
      <c r="H163" s="169"/>
      <c r="I163" s="169"/>
      <c r="J163" s="169"/>
      <c r="K163" s="169"/>
      <c r="L163" s="169"/>
      <c r="M163" s="169"/>
      <c r="N163" s="169"/>
      <c r="O163" s="169"/>
    </row>
    <row r="164" spans="1:15" ht="18" hidden="1">
      <c r="A164" s="169" t="s">
        <v>898</v>
      </c>
      <c r="B164" s="169" t="s">
        <v>55</v>
      </c>
      <c r="C164" s="782">
        <v>128</v>
      </c>
      <c r="D164" s="169" t="s">
        <v>53</v>
      </c>
      <c r="E164" s="169" t="s">
        <v>864</v>
      </c>
      <c r="F164" s="783" t="s">
        <v>899</v>
      </c>
      <c r="G164" s="169"/>
      <c r="H164" s="169"/>
      <c r="I164" s="169"/>
      <c r="J164" s="169"/>
      <c r="K164" s="169"/>
      <c r="L164" s="169"/>
      <c r="M164" s="169"/>
      <c r="N164" s="169"/>
      <c r="O164" s="169"/>
    </row>
    <row r="165" spans="1:15" ht="18" hidden="1">
      <c r="A165" s="169" t="s">
        <v>979</v>
      </c>
      <c r="B165" s="169" t="s">
        <v>52</v>
      </c>
      <c r="C165" s="782">
        <v>8</v>
      </c>
      <c r="D165" s="169" t="s">
        <v>53</v>
      </c>
      <c r="E165" s="169" t="s">
        <v>864</v>
      </c>
      <c r="F165" s="783" t="s">
        <v>901</v>
      </c>
      <c r="G165" s="169"/>
      <c r="H165" s="169"/>
      <c r="I165" s="169"/>
      <c r="J165" s="169"/>
      <c r="K165" s="169"/>
      <c r="L165" s="169"/>
      <c r="M165" s="169"/>
      <c r="N165" s="169"/>
      <c r="O165" s="169"/>
    </row>
    <row r="166" spans="1:15" ht="18" hidden="1">
      <c r="A166" s="169" t="s">
        <v>903</v>
      </c>
      <c r="B166" s="169" t="s">
        <v>55</v>
      </c>
      <c r="C166" s="782">
        <v>128</v>
      </c>
      <c r="D166" s="169" t="s">
        <v>53</v>
      </c>
      <c r="E166" s="169" t="s">
        <v>864</v>
      </c>
      <c r="F166" s="169" t="s">
        <v>868</v>
      </c>
      <c r="G166" s="169"/>
      <c r="H166" s="169"/>
      <c r="I166" s="169"/>
      <c r="J166" s="169"/>
      <c r="K166" s="169"/>
      <c r="L166" s="169"/>
      <c r="M166" s="169"/>
      <c r="N166" s="169"/>
      <c r="O166" s="169"/>
    </row>
    <row r="167" spans="1:15" ht="18" hidden="1">
      <c r="A167" s="169" t="s">
        <v>906</v>
      </c>
      <c r="B167" s="169" t="s">
        <v>55</v>
      </c>
      <c r="C167" s="782">
        <v>128</v>
      </c>
      <c r="D167" s="169" t="s">
        <v>53</v>
      </c>
      <c r="E167" s="169" t="s">
        <v>864</v>
      </c>
      <c r="F167" s="783" t="s">
        <v>907</v>
      </c>
      <c r="G167" s="169"/>
      <c r="H167" s="169"/>
      <c r="I167" s="169"/>
      <c r="J167" s="169"/>
      <c r="K167" s="169"/>
      <c r="L167" s="169"/>
      <c r="M167" s="169"/>
      <c r="N167" s="169"/>
      <c r="O167" s="169"/>
    </row>
    <row r="168" spans="1:15" ht="18" hidden="1">
      <c r="A168" s="169" t="s">
        <v>980</v>
      </c>
      <c r="B168" s="169" t="s">
        <v>55</v>
      </c>
      <c r="C168" s="782">
        <v>128</v>
      </c>
      <c r="D168" s="169" t="s">
        <v>53</v>
      </c>
      <c r="E168" s="169" t="s">
        <v>864</v>
      </c>
      <c r="F168" s="169" t="s">
        <v>868</v>
      </c>
      <c r="G168" s="169"/>
      <c r="H168" s="169"/>
      <c r="I168" s="169"/>
      <c r="J168" s="169"/>
      <c r="K168" s="169"/>
      <c r="L168" s="169"/>
      <c r="M168" s="169"/>
      <c r="N168" s="169"/>
      <c r="O168" s="169"/>
    </row>
    <row r="169" spans="1:15" ht="18" hidden="1">
      <c r="A169" s="169" t="s">
        <v>981</v>
      </c>
      <c r="B169" s="169" t="s">
        <v>55</v>
      </c>
      <c r="C169" s="782">
        <v>128</v>
      </c>
      <c r="D169" s="169" t="s">
        <v>53</v>
      </c>
      <c r="E169" s="169" t="s">
        <v>864</v>
      </c>
      <c r="F169" s="783" t="s">
        <v>910</v>
      </c>
      <c r="G169" s="169"/>
      <c r="H169" s="169"/>
      <c r="I169" s="169"/>
      <c r="J169" s="169"/>
      <c r="K169" s="169"/>
      <c r="L169" s="169"/>
      <c r="M169" s="169"/>
      <c r="N169" s="169"/>
      <c r="O169" s="169"/>
    </row>
    <row r="170" spans="1:15" ht="18" hidden="1">
      <c r="A170" s="169" t="s">
        <v>915</v>
      </c>
      <c r="B170" s="169" t="s">
        <v>55</v>
      </c>
      <c r="C170" s="782">
        <v>128</v>
      </c>
      <c r="D170" s="169" t="s">
        <v>53</v>
      </c>
      <c r="E170" s="169" t="s">
        <v>864</v>
      </c>
      <c r="F170" s="169" t="s">
        <v>916</v>
      </c>
      <c r="G170" s="169"/>
      <c r="H170" s="169"/>
      <c r="I170" s="169"/>
      <c r="J170" s="169"/>
      <c r="K170" s="169"/>
      <c r="L170" s="169"/>
      <c r="M170" s="169"/>
      <c r="N170" s="169"/>
      <c r="O170" s="169"/>
    </row>
    <row r="171" spans="1:15" ht="18" hidden="1">
      <c r="A171" s="169" t="s">
        <v>982</v>
      </c>
      <c r="B171" s="169" t="s">
        <v>55</v>
      </c>
      <c r="C171" s="782">
        <v>128</v>
      </c>
      <c r="D171" s="169" t="s">
        <v>53</v>
      </c>
      <c r="E171" s="169" t="s">
        <v>864</v>
      </c>
      <c r="F171" s="169" t="s">
        <v>918</v>
      </c>
      <c r="G171" s="169"/>
      <c r="H171" s="169"/>
      <c r="I171" s="169"/>
      <c r="J171" s="169"/>
      <c r="K171" s="169"/>
      <c r="L171" s="169"/>
      <c r="M171" s="169"/>
      <c r="N171" s="169"/>
      <c r="O171" s="169"/>
    </row>
    <row r="172" spans="1:15" ht="18" hidden="1">
      <c r="A172" s="169" t="s">
        <v>487</v>
      </c>
      <c r="B172" s="169" t="s">
        <v>55</v>
      </c>
      <c r="C172" s="782">
        <v>128</v>
      </c>
      <c r="D172" s="169" t="s">
        <v>53</v>
      </c>
      <c r="E172" s="169" t="s">
        <v>864</v>
      </c>
      <c r="F172" s="783" t="s">
        <v>921</v>
      </c>
      <c r="G172" s="169"/>
      <c r="H172" s="169"/>
      <c r="I172" s="169"/>
      <c r="J172" s="169"/>
      <c r="K172" s="169"/>
      <c r="L172" s="169"/>
      <c r="M172" s="169"/>
      <c r="N172" s="169"/>
      <c r="O172" s="169"/>
    </row>
    <row r="173" spans="1:15" ht="18" hidden="1">
      <c r="A173" s="169" t="s">
        <v>922</v>
      </c>
      <c r="B173" s="169" t="s">
        <v>58</v>
      </c>
      <c r="C173" s="782">
        <v>1</v>
      </c>
      <c r="D173" s="169" t="s">
        <v>29</v>
      </c>
      <c r="E173" s="169" t="s">
        <v>864</v>
      </c>
      <c r="F173" s="783" t="s">
        <v>865</v>
      </c>
      <c r="G173" s="169"/>
      <c r="H173" s="169"/>
      <c r="I173" s="169"/>
      <c r="J173" s="169"/>
      <c r="K173" s="169"/>
      <c r="L173" s="169"/>
      <c r="M173" s="169"/>
      <c r="N173" s="169"/>
      <c r="O173" s="169"/>
    </row>
    <row r="174" spans="1:15" ht="18" hidden="1">
      <c r="A174" s="169" t="s">
        <v>983</v>
      </c>
      <c r="B174" s="169" t="s">
        <v>55</v>
      </c>
      <c r="C174" s="782">
        <v>128</v>
      </c>
      <c r="D174" s="169" t="s">
        <v>53</v>
      </c>
      <c r="E174" s="169" t="s">
        <v>864</v>
      </c>
      <c r="F174" s="169" t="s">
        <v>916</v>
      </c>
      <c r="G174" s="169"/>
      <c r="H174" s="169"/>
      <c r="I174" s="169"/>
      <c r="J174" s="169"/>
      <c r="K174" s="169"/>
      <c r="L174" s="169"/>
      <c r="M174" s="169"/>
      <c r="N174" s="169"/>
      <c r="O174" s="169"/>
    </row>
    <row r="175" spans="1:15" ht="18" hidden="1">
      <c r="A175" s="169" t="s">
        <v>924</v>
      </c>
      <c r="B175" s="169" t="s">
        <v>55</v>
      </c>
      <c r="C175" s="782">
        <v>128</v>
      </c>
      <c r="D175" s="169" t="s">
        <v>53</v>
      </c>
      <c r="E175" s="169" t="s">
        <v>864</v>
      </c>
      <c r="F175" s="169" t="s">
        <v>916</v>
      </c>
      <c r="G175" s="169"/>
      <c r="H175" s="169"/>
      <c r="I175" s="169"/>
      <c r="J175" s="169"/>
      <c r="K175" s="169"/>
      <c r="L175" s="169"/>
      <c r="M175" s="169"/>
      <c r="N175" s="169"/>
      <c r="O175" s="169"/>
    </row>
    <row r="176" spans="1:15" ht="18" hidden="1">
      <c r="A176" s="169" t="s">
        <v>925</v>
      </c>
      <c r="B176" s="169" t="s">
        <v>55</v>
      </c>
      <c r="C176" s="782">
        <v>128</v>
      </c>
      <c r="D176" s="169" t="s">
        <v>53</v>
      </c>
      <c r="E176" s="169" t="s">
        <v>864</v>
      </c>
      <c r="F176" s="169" t="s">
        <v>916</v>
      </c>
      <c r="G176" s="169"/>
      <c r="H176" s="169"/>
      <c r="I176" s="169"/>
      <c r="J176" s="169"/>
      <c r="K176" s="169"/>
      <c r="L176" s="169"/>
      <c r="M176" s="169"/>
      <c r="N176" s="169"/>
      <c r="O176" s="169"/>
    </row>
    <row r="177" spans="1:15" ht="18" hidden="1">
      <c r="A177" s="169" t="s">
        <v>984</v>
      </c>
      <c r="B177" s="169" t="s">
        <v>52</v>
      </c>
      <c r="C177" s="782">
        <v>8</v>
      </c>
      <c r="D177" s="169" t="s">
        <v>53</v>
      </c>
      <c r="E177" s="169" t="s">
        <v>864</v>
      </c>
      <c r="F177" s="783" t="s">
        <v>870</v>
      </c>
      <c r="G177" s="169"/>
      <c r="H177" s="169"/>
      <c r="I177" s="169"/>
      <c r="J177" s="169"/>
      <c r="K177" s="169"/>
      <c r="L177" s="169"/>
      <c r="M177" s="169"/>
      <c r="N177" s="169"/>
      <c r="O177" s="169"/>
    </row>
    <row r="178" spans="1:15" ht="18" hidden="1">
      <c r="A178" s="169" t="s">
        <v>488</v>
      </c>
      <c r="B178" s="169" t="s">
        <v>55</v>
      </c>
      <c r="C178" s="169">
        <v>128</v>
      </c>
      <c r="D178" s="169" t="s">
        <v>53</v>
      </c>
      <c r="E178" s="169" t="s">
        <v>864</v>
      </c>
      <c r="F178" s="169" t="s">
        <v>985</v>
      </c>
      <c r="G178" s="169"/>
      <c r="H178" s="169"/>
      <c r="I178" s="169"/>
      <c r="J178" s="169"/>
      <c r="K178" s="169"/>
      <c r="L178" s="169"/>
      <c r="M178" s="169"/>
      <c r="N178" s="169"/>
      <c r="O178" s="169"/>
    </row>
    <row r="179" spans="1:15" ht="18" hidden="1">
      <c r="A179" s="169" t="s">
        <v>986</v>
      </c>
      <c r="B179" s="169" t="s">
        <v>55</v>
      </c>
      <c r="C179" s="782">
        <v>128</v>
      </c>
      <c r="D179" s="169" t="s">
        <v>53</v>
      </c>
      <c r="E179" s="169" t="s">
        <v>864</v>
      </c>
      <c r="F179" s="783" t="s">
        <v>967</v>
      </c>
      <c r="G179" s="169"/>
      <c r="H179" s="169"/>
      <c r="I179" s="169"/>
      <c r="J179" s="169"/>
      <c r="K179" s="169"/>
      <c r="L179" s="169"/>
      <c r="M179" s="169"/>
      <c r="N179" s="169"/>
      <c r="O179" s="169"/>
    </row>
    <row r="180" spans="1:15" ht="18" hidden="1">
      <c r="A180" s="169" t="s">
        <v>928</v>
      </c>
      <c r="B180" s="169" t="s">
        <v>55</v>
      </c>
      <c r="C180" s="782">
        <v>128</v>
      </c>
      <c r="D180" s="169" t="s">
        <v>53</v>
      </c>
      <c r="E180" s="169" t="s">
        <v>864</v>
      </c>
      <c r="F180" s="783" t="s">
        <v>929</v>
      </c>
      <c r="G180" s="169"/>
      <c r="H180" s="169"/>
      <c r="I180" s="169"/>
      <c r="J180" s="169"/>
      <c r="K180" s="169"/>
      <c r="L180" s="169"/>
      <c r="M180" s="169"/>
      <c r="N180" s="169"/>
      <c r="O180" s="169"/>
    </row>
    <row r="181" spans="1:15" ht="18" hidden="1">
      <c r="A181" s="169" t="s">
        <v>987</v>
      </c>
      <c r="B181" s="169" t="s">
        <v>52</v>
      </c>
      <c r="C181" s="782">
        <v>8</v>
      </c>
      <c r="D181" s="169" t="s">
        <v>53</v>
      </c>
      <c r="E181" s="169" t="s">
        <v>864</v>
      </c>
      <c r="F181" s="783" t="s">
        <v>870</v>
      </c>
      <c r="G181" s="169"/>
      <c r="H181" s="169"/>
      <c r="I181" s="169"/>
      <c r="J181" s="169"/>
      <c r="K181" s="169"/>
      <c r="L181" s="169"/>
      <c r="M181" s="169"/>
      <c r="N181" s="169"/>
      <c r="O181" s="169"/>
    </row>
    <row r="182" spans="1:15" ht="18" hidden="1">
      <c r="A182" s="169" t="s">
        <v>988</v>
      </c>
      <c r="B182" s="169" t="s">
        <v>55</v>
      </c>
      <c r="C182" s="782">
        <v>128</v>
      </c>
      <c r="D182" s="169" t="s">
        <v>53</v>
      </c>
      <c r="E182" s="169" t="s">
        <v>864</v>
      </c>
      <c r="F182" s="783" t="s">
        <v>967</v>
      </c>
      <c r="G182" s="169"/>
      <c r="H182" s="169"/>
      <c r="I182" s="169"/>
      <c r="J182" s="169"/>
      <c r="K182" s="169"/>
      <c r="L182" s="169"/>
      <c r="M182" s="169"/>
      <c r="N182" s="169"/>
      <c r="O182" s="169"/>
    </row>
    <row r="183" spans="1:15" ht="18" hidden="1">
      <c r="A183" s="169" t="s">
        <v>489</v>
      </c>
      <c r="B183" s="169" t="s">
        <v>58</v>
      </c>
      <c r="C183" s="782">
        <v>1</v>
      </c>
      <c r="D183" s="169" t="s">
        <v>29</v>
      </c>
      <c r="E183" s="169" t="s">
        <v>864</v>
      </c>
      <c r="F183" s="169" t="s">
        <v>964</v>
      </c>
      <c r="G183" s="169"/>
      <c r="H183" s="169"/>
      <c r="I183" s="169"/>
      <c r="J183" s="169"/>
      <c r="K183" s="169"/>
      <c r="L183" s="169"/>
      <c r="M183" s="169"/>
      <c r="N183" s="169"/>
      <c r="O183" s="169"/>
    </row>
    <row r="184" spans="1:15" ht="18" hidden="1">
      <c r="A184" s="169" t="s">
        <v>936</v>
      </c>
      <c r="B184" s="169" t="s">
        <v>55</v>
      </c>
      <c r="C184" s="782">
        <v>128</v>
      </c>
      <c r="D184" s="169" t="s">
        <v>53</v>
      </c>
      <c r="E184" s="169" t="s">
        <v>864</v>
      </c>
      <c r="F184" s="169" t="s">
        <v>916</v>
      </c>
      <c r="G184" s="169"/>
      <c r="H184" s="169"/>
      <c r="I184" s="169"/>
      <c r="J184" s="169"/>
      <c r="K184" s="169"/>
      <c r="L184" s="169"/>
      <c r="M184" s="169"/>
      <c r="N184" s="169"/>
      <c r="O184" s="169"/>
    </row>
    <row r="185" spans="1:15" ht="18" hidden="1">
      <c r="A185" s="169" t="s">
        <v>989</v>
      </c>
      <c r="B185" s="169" t="s">
        <v>55</v>
      </c>
      <c r="C185" s="782">
        <v>128</v>
      </c>
      <c r="D185" s="169" t="s">
        <v>53</v>
      </c>
      <c r="E185" s="169" t="s">
        <v>864</v>
      </c>
      <c r="F185" s="783" t="s">
        <v>873</v>
      </c>
      <c r="G185" s="169"/>
      <c r="H185" s="169"/>
      <c r="I185" s="169"/>
      <c r="J185" s="169"/>
      <c r="K185" s="169"/>
      <c r="L185" s="169"/>
      <c r="M185" s="169"/>
      <c r="N185" s="169"/>
      <c r="O185" s="169"/>
    </row>
    <row r="186" spans="1:15" ht="18" hidden="1">
      <c r="A186" s="169" t="s">
        <v>939</v>
      </c>
      <c r="B186" s="169" t="s">
        <v>55</v>
      </c>
      <c r="C186" s="782">
        <v>128</v>
      </c>
      <c r="D186" s="169" t="s">
        <v>53</v>
      </c>
      <c r="E186" s="169" t="s">
        <v>864</v>
      </c>
      <c r="F186" s="783" t="s">
        <v>873</v>
      </c>
      <c r="G186" s="169"/>
      <c r="H186" s="169"/>
      <c r="I186" s="169"/>
      <c r="J186" s="169"/>
      <c r="K186" s="169"/>
      <c r="L186" s="169"/>
      <c r="M186" s="169"/>
      <c r="N186" s="169"/>
      <c r="O186" s="169"/>
    </row>
    <row r="187" spans="1:15" ht="18" hidden="1">
      <c r="A187" s="169" t="s">
        <v>940</v>
      </c>
      <c r="B187" s="169" t="s">
        <v>55</v>
      </c>
      <c r="C187" s="782">
        <v>128</v>
      </c>
      <c r="D187" s="169" t="s">
        <v>53</v>
      </c>
      <c r="E187" s="169" t="s">
        <v>864</v>
      </c>
      <c r="F187" s="783" t="s">
        <v>889</v>
      </c>
      <c r="G187" s="169"/>
      <c r="H187" s="169"/>
      <c r="I187" s="169"/>
      <c r="J187" s="169"/>
      <c r="K187" s="169"/>
      <c r="L187" s="169"/>
      <c r="M187" s="169"/>
      <c r="N187" s="169"/>
      <c r="O187" s="169"/>
    </row>
    <row r="188" spans="1:15" ht="18" hidden="1">
      <c r="A188" s="169" t="s">
        <v>990</v>
      </c>
      <c r="B188" s="169" t="s">
        <v>55</v>
      </c>
      <c r="C188" s="782">
        <v>128</v>
      </c>
      <c r="D188" s="169" t="s">
        <v>53</v>
      </c>
      <c r="E188" s="169" t="s">
        <v>864</v>
      </c>
      <c r="F188" s="783" t="s">
        <v>967</v>
      </c>
      <c r="G188" s="169"/>
      <c r="H188" s="169"/>
      <c r="I188" s="169"/>
      <c r="J188" s="169"/>
      <c r="K188" s="169"/>
      <c r="L188" s="169"/>
      <c r="M188" s="169"/>
      <c r="N188" s="169"/>
      <c r="O188" s="169"/>
    </row>
    <row r="189" spans="1:15" ht="18" hidden="1">
      <c r="A189" s="169" t="s">
        <v>490</v>
      </c>
      <c r="B189" s="169" t="s">
        <v>55</v>
      </c>
      <c r="C189" s="782">
        <v>128</v>
      </c>
      <c r="D189" s="169" t="s">
        <v>53</v>
      </c>
      <c r="E189" s="169" t="s">
        <v>864</v>
      </c>
      <c r="F189" s="783" t="s">
        <v>896</v>
      </c>
      <c r="G189" s="169"/>
      <c r="H189" s="169"/>
      <c r="I189" s="169"/>
      <c r="J189" s="169"/>
      <c r="K189" s="169"/>
      <c r="L189" s="169"/>
      <c r="M189" s="169"/>
      <c r="N189" s="169"/>
      <c r="O189" s="169"/>
    </row>
    <row r="190" spans="1:15" ht="18" hidden="1">
      <c r="A190" s="169" t="s">
        <v>941</v>
      </c>
      <c r="B190" s="169" t="s">
        <v>55</v>
      </c>
      <c r="C190" s="782">
        <v>128</v>
      </c>
      <c r="D190" s="169" t="s">
        <v>53</v>
      </c>
      <c r="E190" s="169" t="s">
        <v>864</v>
      </c>
      <c r="F190" s="169" t="s">
        <v>916</v>
      </c>
      <c r="G190" s="169"/>
      <c r="H190" s="169"/>
      <c r="I190" s="169"/>
      <c r="J190" s="169"/>
      <c r="K190" s="169"/>
      <c r="L190" s="169"/>
      <c r="M190" s="169"/>
      <c r="N190" s="169"/>
      <c r="O190" s="169"/>
    </row>
    <row r="191" spans="1:15" ht="18" hidden="1">
      <c r="A191" s="169" t="s">
        <v>991</v>
      </c>
      <c r="B191" s="169" t="s">
        <v>55</v>
      </c>
      <c r="C191" s="782">
        <v>128</v>
      </c>
      <c r="D191" s="169" t="s">
        <v>53</v>
      </c>
      <c r="E191" s="169" t="s">
        <v>864</v>
      </c>
      <c r="F191" s="783" t="s">
        <v>907</v>
      </c>
      <c r="G191" s="169"/>
      <c r="H191" s="169"/>
      <c r="I191" s="169"/>
      <c r="J191" s="169"/>
      <c r="K191" s="169"/>
      <c r="L191" s="169"/>
      <c r="M191" s="169"/>
      <c r="N191" s="169"/>
      <c r="O191" s="169"/>
    </row>
    <row r="192" spans="1:15" ht="18" hidden="1">
      <c r="A192" s="169" t="s">
        <v>491</v>
      </c>
      <c r="B192" s="169" t="s">
        <v>55</v>
      </c>
      <c r="C192" s="782">
        <v>128</v>
      </c>
      <c r="D192" s="169" t="s">
        <v>53</v>
      </c>
      <c r="E192" s="169" t="s">
        <v>864</v>
      </c>
      <c r="F192" s="783" t="s">
        <v>943</v>
      </c>
      <c r="G192" s="169"/>
      <c r="H192" s="169"/>
      <c r="I192" s="169"/>
      <c r="J192" s="169"/>
      <c r="K192" s="169"/>
      <c r="L192" s="169"/>
      <c r="M192" s="169"/>
      <c r="N192" s="169"/>
      <c r="O192" s="169"/>
    </row>
    <row r="193" spans="1:15" ht="18" hidden="1">
      <c r="A193" s="169" t="s">
        <v>992</v>
      </c>
      <c r="B193" s="169" t="s">
        <v>55</v>
      </c>
      <c r="C193" s="782">
        <v>128</v>
      </c>
      <c r="D193" s="169" t="s">
        <v>53</v>
      </c>
      <c r="E193" s="169" t="s">
        <v>864</v>
      </c>
      <c r="F193" s="783" t="s">
        <v>993</v>
      </c>
      <c r="G193" s="169"/>
      <c r="H193" s="169"/>
      <c r="I193" s="169"/>
      <c r="J193" s="169"/>
      <c r="K193" s="169"/>
      <c r="L193" s="169"/>
      <c r="M193" s="169"/>
      <c r="N193" s="169"/>
      <c r="O193" s="169"/>
    </row>
    <row r="194" spans="1:15" ht="18" hidden="1">
      <c r="A194" s="169" t="s">
        <v>994</v>
      </c>
      <c r="B194" s="169" t="s">
        <v>55</v>
      </c>
      <c r="C194" s="782">
        <v>128</v>
      </c>
      <c r="D194" s="169" t="s">
        <v>53</v>
      </c>
      <c r="E194" s="169" t="s">
        <v>864</v>
      </c>
      <c r="F194" s="169" t="s">
        <v>995</v>
      </c>
      <c r="G194" s="169"/>
      <c r="H194" s="169"/>
      <c r="I194" s="169"/>
      <c r="J194" s="169"/>
      <c r="K194" s="169"/>
      <c r="L194" s="169"/>
      <c r="M194" s="169"/>
      <c r="N194" s="169"/>
      <c r="O194" s="169"/>
    </row>
    <row r="195" spans="1:15" ht="18" hidden="1">
      <c r="A195" s="169" t="s">
        <v>996</v>
      </c>
      <c r="B195" s="169" t="s">
        <v>50</v>
      </c>
      <c r="C195" s="782">
        <v>4</v>
      </c>
      <c r="D195" s="169" t="s">
        <v>53</v>
      </c>
      <c r="E195" s="169" t="s">
        <v>864</v>
      </c>
      <c r="F195" s="783" t="s">
        <v>887</v>
      </c>
      <c r="G195" s="169"/>
      <c r="H195" s="169"/>
      <c r="I195" s="169"/>
      <c r="J195" s="169"/>
      <c r="K195" s="169"/>
      <c r="L195" s="169"/>
      <c r="M195" s="169"/>
      <c r="N195" s="169"/>
      <c r="O195" s="169"/>
    </row>
    <row r="196" spans="1:15" ht="18" hidden="1">
      <c r="A196" s="169" t="s">
        <v>945</v>
      </c>
      <c r="B196" s="169" t="s">
        <v>55</v>
      </c>
      <c r="C196" s="782">
        <v>128</v>
      </c>
      <c r="D196" s="169" t="s">
        <v>53</v>
      </c>
      <c r="E196" s="169" t="s">
        <v>864</v>
      </c>
      <c r="F196" s="783" t="s">
        <v>874</v>
      </c>
      <c r="G196" s="169"/>
      <c r="H196" s="169"/>
      <c r="I196" s="169"/>
      <c r="J196" s="169"/>
      <c r="K196" s="169"/>
      <c r="L196" s="169"/>
      <c r="M196" s="169"/>
      <c r="N196" s="169"/>
      <c r="O196" s="169"/>
    </row>
    <row r="197" spans="1:15" ht="18" hidden="1">
      <c r="A197" s="169" t="s">
        <v>997</v>
      </c>
      <c r="B197" s="169" t="s">
        <v>55</v>
      </c>
      <c r="C197" s="782">
        <v>128</v>
      </c>
      <c r="D197" s="169" t="s">
        <v>53</v>
      </c>
      <c r="E197" s="169" t="s">
        <v>864</v>
      </c>
      <c r="F197" s="783" t="s">
        <v>967</v>
      </c>
      <c r="G197" s="169"/>
      <c r="H197" s="169"/>
      <c r="I197" s="169"/>
      <c r="J197" s="169"/>
      <c r="K197" s="169"/>
      <c r="L197" s="169"/>
      <c r="M197" s="169"/>
      <c r="N197" s="169"/>
      <c r="O197" s="169"/>
    </row>
    <row r="198" spans="1:15" ht="18" hidden="1">
      <c r="A198" s="169" t="s">
        <v>492</v>
      </c>
      <c r="B198" s="169" t="s">
        <v>55</v>
      </c>
      <c r="C198" s="782">
        <v>128</v>
      </c>
      <c r="D198" s="169" t="s">
        <v>53</v>
      </c>
      <c r="E198" s="169" t="s">
        <v>864</v>
      </c>
      <c r="F198" s="169" t="s">
        <v>916</v>
      </c>
      <c r="G198" s="169"/>
      <c r="H198" s="169"/>
      <c r="I198" s="169"/>
      <c r="J198" s="169"/>
      <c r="K198" s="169"/>
      <c r="L198" s="169"/>
      <c r="M198" s="169"/>
      <c r="N198" s="169"/>
      <c r="O198" s="169"/>
    </row>
    <row r="199" spans="1:15" ht="18" hidden="1">
      <c r="A199" s="169" t="s">
        <v>946</v>
      </c>
      <c r="B199" s="169" t="s">
        <v>55</v>
      </c>
      <c r="C199" s="782">
        <v>128</v>
      </c>
      <c r="D199" s="169" t="s">
        <v>53</v>
      </c>
      <c r="E199" s="169" t="s">
        <v>864</v>
      </c>
      <c r="F199" s="783" t="s">
        <v>947</v>
      </c>
      <c r="G199" s="169"/>
      <c r="H199" s="169"/>
      <c r="I199" s="169"/>
      <c r="J199" s="169"/>
      <c r="K199" s="169"/>
      <c r="L199" s="169"/>
      <c r="M199" s="169"/>
      <c r="N199" s="169"/>
      <c r="O199" s="169"/>
    </row>
    <row r="200" spans="1:15" ht="18" hidden="1">
      <c r="A200" s="169" t="s">
        <v>998</v>
      </c>
      <c r="B200" s="169" t="s">
        <v>55</v>
      </c>
      <c r="C200" s="782">
        <v>128</v>
      </c>
      <c r="D200" s="169" t="s">
        <v>53</v>
      </c>
      <c r="E200" s="169" t="s">
        <v>864</v>
      </c>
      <c r="F200" s="169" t="s">
        <v>977</v>
      </c>
      <c r="G200" s="169"/>
      <c r="H200" s="169"/>
      <c r="I200" s="169"/>
      <c r="J200" s="169"/>
      <c r="K200" s="169"/>
      <c r="L200" s="169"/>
      <c r="M200" s="169"/>
      <c r="N200" s="169"/>
      <c r="O200" s="169"/>
    </row>
    <row r="201" spans="1:15" ht="18" hidden="1">
      <c r="A201" s="169" t="s">
        <v>948</v>
      </c>
      <c r="B201" s="169" t="s">
        <v>58</v>
      </c>
      <c r="C201" s="782">
        <v>1</v>
      </c>
      <c r="D201" s="169" t="s">
        <v>29</v>
      </c>
      <c r="E201" s="169" t="s">
        <v>864</v>
      </c>
      <c r="F201" s="169" t="s">
        <v>949</v>
      </c>
      <c r="G201" s="169"/>
      <c r="H201" s="169"/>
      <c r="I201" s="169"/>
      <c r="J201" s="169"/>
      <c r="K201" s="169"/>
      <c r="L201" s="169"/>
      <c r="M201" s="169"/>
      <c r="N201" s="169"/>
      <c r="O201" s="169"/>
    </row>
    <row r="202" spans="1:15" ht="18" hidden="1">
      <c r="A202" s="169" t="s">
        <v>950</v>
      </c>
      <c r="B202" s="169" t="s">
        <v>55</v>
      </c>
      <c r="C202" s="782">
        <v>128</v>
      </c>
      <c r="D202" s="169" t="s">
        <v>53</v>
      </c>
      <c r="E202" s="169" t="s">
        <v>864</v>
      </c>
      <c r="F202" s="169" t="s">
        <v>868</v>
      </c>
      <c r="G202" s="169"/>
      <c r="H202" s="169"/>
      <c r="I202" s="169"/>
      <c r="J202" s="169"/>
      <c r="K202" s="169"/>
      <c r="L202" s="169"/>
      <c r="M202" s="169"/>
      <c r="N202" s="169"/>
      <c r="O202" s="169"/>
    </row>
    <row r="203" spans="1:15" ht="18" hidden="1">
      <c r="A203" s="169" t="s">
        <v>951</v>
      </c>
      <c r="B203" s="169" t="s">
        <v>55</v>
      </c>
      <c r="C203" s="782">
        <v>128</v>
      </c>
      <c r="D203" s="169" t="s">
        <v>53</v>
      </c>
      <c r="E203" s="169" t="s">
        <v>864</v>
      </c>
      <c r="F203" s="783" t="s">
        <v>952</v>
      </c>
      <c r="G203" s="169"/>
      <c r="H203" s="169"/>
      <c r="I203" s="169"/>
      <c r="J203" s="169"/>
      <c r="K203" s="169"/>
      <c r="L203" s="169"/>
      <c r="M203" s="169"/>
      <c r="N203" s="169"/>
      <c r="O203" s="169"/>
    </row>
    <row r="204" spans="1:15" ht="18" hidden="1">
      <c r="A204" s="169" t="s">
        <v>999</v>
      </c>
      <c r="B204" s="169" t="s">
        <v>55</v>
      </c>
      <c r="C204" s="782">
        <v>128</v>
      </c>
      <c r="D204" s="169" t="s">
        <v>53</v>
      </c>
      <c r="E204" s="169" t="s">
        <v>864</v>
      </c>
      <c r="F204" s="169" t="s">
        <v>977</v>
      </c>
      <c r="G204" s="169"/>
      <c r="H204" s="169"/>
      <c r="I204" s="169"/>
      <c r="J204" s="169"/>
      <c r="K204" s="169"/>
      <c r="L204" s="169"/>
      <c r="M204" s="169"/>
      <c r="N204" s="169"/>
      <c r="O204" s="169"/>
    </row>
    <row r="205" spans="1:15" ht="18" hidden="1">
      <c r="A205" s="169" t="s">
        <v>1000</v>
      </c>
      <c r="B205" s="169" t="s">
        <v>55</v>
      </c>
      <c r="C205" s="782">
        <v>128</v>
      </c>
      <c r="D205" s="169" t="s">
        <v>53</v>
      </c>
      <c r="E205" s="169" t="s">
        <v>864</v>
      </c>
      <c r="F205" s="169" t="s">
        <v>878</v>
      </c>
      <c r="G205" s="169"/>
      <c r="H205" s="169"/>
      <c r="I205" s="169"/>
      <c r="J205" s="169"/>
      <c r="K205" s="169"/>
      <c r="L205" s="169"/>
      <c r="M205" s="169"/>
      <c r="N205" s="169"/>
      <c r="O205" s="169"/>
    </row>
    <row r="206" spans="1:15" ht="18" hidden="1">
      <c r="A206" s="169" t="s">
        <v>493</v>
      </c>
      <c r="B206" s="169" t="s">
        <v>55</v>
      </c>
      <c r="C206" s="782">
        <v>128</v>
      </c>
      <c r="D206" s="169" t="s">
        <v>53</v>
      </c>
      <c r="E206" s="169" t="s">
        <v>864</v>
      </c>
      <c r="F206" s="783" t="s">
        <v>885</v>
      </c>
      <c r="G206" s="169"/>
      <c r="H206" s="169"/>
      <c r="I206" s="169"/>
      <c r="J206" s="169"/>
      <c r="K206" s="169"/>
      <c r="L206" s="169"/>
      <c r="M206" s="169"/>
      <c r="N206" s="169"/>
      <c r="O206" s="169"/>
    </row>
    <row r="207" spans="1:15" ht="18" hidden="1">
      <c r="A207" s="169" t="s">
        <v>954</v>
      </c>
      <c r="B207" s="169" t="s">
        <v>55</v>
      </c>
      <c r="C207" s="782">
        <v>128</v>
      </c>
      <c r="D207" s="169" t="s">
        <v>53</v>
      </c>
      <c r="E207" s="169" t="s">
        <v>864</v>
      </c>
      <c r="F207" s="783" t="s">
        <v>955</v>
      </c>
      <c r="G207" s="169"/>
      <c r="H207" s="169"/>
      <c r="I207" s="169"/>
      <c r="J207" s="169"/>
      <c r="K207" s="169"/>
      <c r="L207" s="169"/>
      <c r="M207" s="169"/>
      <c r="N207" s="169"/>
      <c r="O207" s="169"/>
    </row>
    <row r="208" spans="1:15" ht="18" hidden="1">
      <c r="A208" s="169" t="s">
        <v>956</v>
      </c>
      <c r="B208" s="169" t="s">
        <v>55</v>
      </c>
      <c r="C208" s="782">
        <v>128</v>
      </c>
      <c r="D208" s="169" t="s">
        <v>53</v>
      </c>
      <c r="E208" s="169" t="s">
        <v>864</v>
      </c>
      <c r="F208" s="169" t="s">
        <v>868</v>
      </c>
      <c r="G208" s="169"/>
      <c r="H208" s="169"/>
      <c r="I208" s="169"/>
      <c r="J208" s="169"/>
      <c r="K208" s="169"/>
      <c r="L208" s="169"/>
      <c r="M208" s="169"/>
      <c r="N208" s="169"/>
      <c r="O208" s="169"/>
    </row>
    <row r="209" spans="1:15" ht="18" hidden="1">
      <c r="A209" s="169" t="s">
        <v>957</v>
      </c>
      <c r="B209" s="169" t="s">
        <v>55</v>
      </c>
      <c r="C209" s="782">
        <v>128</v>
      </c>
      <c r="D209" s="169" t="s">
        <v>53</v>
      </c>
      <c r="E209" s="169" t="s">
        <v>864</v>
      </c>
      <c r="F209" s="169" t="s">
        <v>916</v>
      </c>
      <c r="G209" s="169"/>
      <c r="H209" s="169"/>
      <c r="I209" s="169"/>
      <c r="J209" s="169"/>
      <c r="K209" s="169"/>
      <c r="L209" s="169"/>
      <c r="M209" s="169"/>
      <c r="N209" s="169"/>
      <c r="O209" s="169"/>
    </row>
    <row r="210" spans="1:15" ht="18" hidden="1">
      <c r="A210" s="169" t="s">
        <v>958</v>
      </c>
      <c r="B210" s="169" t="s">
        <v>58</v>
      </c>
      <c r="C210" s="782">
        <v>1</v>
      </c>
      <c r="D210" s="169" t="s">
        <v>29</v>
      </c>
      <c r="E210" s="169" t="s">
        <v>864</v>
      </c>
      <c r="F210" s="783" t="s">
        <v>865</v>
      </c>
      <c r="G210" s="169"/>
      <c r="H210" s="169"/>
      <c r="I210" s="169"/>
      <c r="J210" s="169"/>
      <c r="K210" s="169"/>
      <c r="L210" s="169"/>
      <c r="M210" s="169"/>
      <c r="N210" s="169"/>
      <c r="O210" s="169"/>
    </row>
    <row r="211" spans="1:15" ht="18" hidden="1">
      <c r="A211" s="169" t="s">
        <v>1001</v>
      </c>
      <c r="B211" s="169" t="s">
        <v>55</v>
      </c>
      <c r="C211" s="782">
        <v>128</v>
      </c>
      <c r="D211" s="169" t="s">
        <v>53</v>
      </c>
      <c r="E211" s="169" t="s">
        <v>864</v>
      </c>
      <c r="F211" s="783" t="s">
        <v>961</v>
      </c>
      <c r="G211" s="169"/>
      <c r="H211" s="169"/>
      <c r="I211" s="169"/>
      <c r="J211" s="169"/>
      <c r="K211" s="169"/>
      <c r="L211" s="169"/>
      <c r="M211" s="169"/>
      <c r="N211" s="169"/>
      <c r="O211" s="169"/>
    </row>
    <row r="212" spans="1:15" ht="18" hidden="1">
      <c r="A212" s="169" t="s">
        <v>962</v>
      </c>
      <c r="B212" s="169" t="s">
        <v>55</v>
      </c>
      <c r="C212" s="782">
        <v>128</v>
      </c>
      <c r="D212" s="169" t="s">
        <v>53</v>
      </c>
      <c r="E212" s="169" t="s">
        <v>864</v>
      </c>
      <c r="F212" s="783" t="s">
        <v>874</v>
      </c>
      <c r="G212" s="169"/>
      <c r="H212" s="169"/>
      <c r="I212" s="169"/>
      <c r="J212" s="169"/>
      <c r="K212" s="169"/>
      <c r="L212" s="169"/>
      <c r="M212" s="169"/>
      <c r="N212" s="169"/>
      <c r="O212" s="169"/>
    </row>
    <row r="213" spans="1:15" ht="15.6">
      <c r="A213" s="596" t="s">
        <v>737</v>
      </c>
      <c r="B213" s="596" t="s">
        <v>737</v>
      </c>
      <c r="C213" s="604">
        <v>0</v>
      </c>
      <c r="D213" s="596" t="s">
        <v>737</v>
      </c>
    </row>
    <row r="214" spans="1:15" ht="15.6">
      <c r="A214" s="596" t="s">
        <v>737</v>
      </c>
      <c r="B214" s="596" t="s">
        <v>737</v>
      </c>
      <c r="C214" s="604">
        <v>0</v>
      </c>
      <c r="D214" s="596" t="s">
        <v>737</v>
      </c>
    </row>
    <row r="215" spans="1:15" ht="15.6">
      <c r="A215" s="596" t="s">
        <v>737</v>
      </c>
      <c r="B215" s="596" t="s">
        <v>737</v>
      </c>
      <c r="C215" s="604">
        <v>0</v>
      </c>
      <c r="D215" s="596" t="s">
        <v>737</v>
      </c>
    </row>
    <row r="216" spans="1:15" ht="15.6">
      <c r="A216" s="596" t="s">
        <v>737</v>
      </c>
      <c r="B216" s="596" t="s">
        <v>737</v>
      </c>
      <c r="C216" s="604">
        <v>0</v>
      </c>
      <c r="D216" s="596" t="s">
        <v>737</v>
      </c>
    </row>
    <row r="217" spans="1:15" ht="15.6">
      <c r="A217" s="596" t="s">
        <v>737</v>
      </c>
      <c r="B217" s="596" t="s">
        <v>737</v>
      </c>
      <c r="C217" s="604">
        <v>0</v>
      </c>
      <c r="D217" s="596" t="s">
        <v>737</v>
      </c>
    </row>
    <row r="218" spans="1:15" ht="15.6">
      <c r="A218" s="596" t="s">
        <v>737</v>
      </c>
      <c r="B218" s="596" t="s">
        <v>737</v>
      </c>
      <c r="C218" s="604">
        <v>0</v>
      </c>
      <c r="D218" s="596" t="s">
        <v>737</v>
      </c>
    </row>
    <row r="221" spans="1:15">
      <c r="A221" s="248" t="s">
        <v>1016</v>
      </c>
    </row>
    <row r="223" spans="1:15">
      <c r="A223" s="248" t="s">
        <v>595</v>
      </c>
    </row>
  </sheetData>
  <sheetProtection sheet="1" objects="1" scenarios="1"/>
  <sortState xmlns:xlrd2="http://schemas.microsoft.com/office/spreadsheetml/2017/richdata2" ref="A5:F58">
    <sortCondition ref="A58"/>
  </sortState>
  <mergeCells count="4">
    <mergeCell ref="A2:F2"/>
    <mergeCell ref="A104:D104"/>
    <mergeCell ref="A131:D131"/>
    <mergeCell ref="A60:F60"/>
  </mergeCells>
  <hyperlinks>
    <hyperlink ref="A221" r:id="rId1" xr:uid="{F15C957E-DA3B-4012-802E-614A102C57E9}"/>
    <hyperlink ref="A223" r:id="rId2" xr:uid="{0FDDF449-FBCA-4A88-8DEE-CC335DE982D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E94A-7FE8-4642-9EA6-571E7504F609}">
  <sheetPr codeName="Sheet18"/>
  <dimension ref="A1:O109"/>
  <sheetViews>
    <sheetView zoomScale="80" zoomScaleNormal="80" workbookViewId="0">
      <selection activeCell="G107" sqref="G107"/>
    </sheetView>
  </sheetViews>
  <sheetFormatPr defaultRowHeight="14.4"/>
  <cols>
    <col min="1" max="1" width="30.88671875" bestFit="1" customWidth="1"/>
    <col min="2" max="2" width="8.6640625" bestFit="1" customWidth="1"/>
    <col min="4" max="4" width="11.109375" bestFit="1" customWidth="1"/>
    <col min="5" max="5" width="7" bestFit="1" customWidth="1"/>
    <col min="6" max="6" width="12.88671875" bestFit="1" customWidth="1"/>
  </cols>
  <sheetData>
    <row r="1" spans="1:15">
      <c r="A1" s="4">
        <v>1</v>
      </c>
      <c r="B1" s="4">
        <v>2</v>
      </c>
      <c r="C1" s="4">
        <v>3</v>
      </c>
      <c r="D1" s="4">
        <v>4</v>
      </c>
      <c r="E1" s="4">
        <v>5</v>
      </c>
      <c r="F1" s="5" t="s">
        <v>257</v>
      </c>
    </row>
    <row r="2" spans="1:15" ht="18">
      <c r="A2" s="1010" t="s">
        <v>383</v>
      </c>
      <c r="B2" s="1010"/>
      <c r="C2" s="1010"/>
      <c r="D2" s="1010"/>
      <c r="E2" s="1010"/>
      <c r="F2" s="1010"/>
      <c r="I2" s="601" t="s">
        <v>747</v>
      </c>
      <c r="J2" s="601" t="s">
        <v>46</v>
      </c>
      <c r="K2" s="601" t="s">
        <v>49</v>
      </c>
      <c r="L2" s="601" t="s">
        <v>48</v>
      </c>
      <c r="M2" s="601" t="s">
        <v>47</v>
      </c>
      <c r="N2" s="601" t="s">
        <v>219</v>
      </c>
      <c r="O2" s="600" t="s">
        <v>220</v>
      </c>
    </row>
    <row r="3" spans="1:15" ht="15.6">
      <c r="A3" s="599" t="s">
        <v>46</v>
      </c>
      <c r="B3" s="599" t="s">
        <v>49</v>
      </c>
      <c r="C3" s="599" t="s">
        <v>48</v>
      </c>
      <c r="D3" s="599" t="s">
        <v>47</v>
      </c>
      <c r="E3" s="599" t="s">
        <v>219</v>
      </c>
      <c r="F3" s="600" t="s">
        <v>220</v>
      </c>
      <c r="I3" s="601"/>
      <c r="J3" s="602" t="s">
        <v>51</v>
      </c>
      <c r="K3" s="601" t="s">
        <v>52</v>
      </c>
      <c r="L3" s="603">
        <v>8</v>
      </c>
      <c r="M3" s="601" t="s">
        <v>53</v>
      </c>
      <c r="N3" s="601" t="s">
        <v>195</v>
      </c>
      <c r="O3" s="600">
        <v>4</v>
      </c>
    </row>
    <row r="4" spans="1:15" hidden="1">
      <c r="A4" t="s">
        <v>13</v>
      </c>
      <c r="C4">
        <v>1</v>
      </c>
      <c r="D4" t="s">
        <v>13</v>
      </c>
      <c r="E4" t="s">
        <v>13</v>
      </c>
      <c r="F4" s="5"/>
    </row>
    <row r="5" spans="1:15" hidden="1">
      <c r="A5" t="s">
        <v>361</v>
      </c>
      <c r="B5" t="s">
        <v>52</v>
      </c>
      <c r="C5" s="3">
        <v>8</v>
      </c>
      <c r="D5" t="s">
        <v>53</v>
      </c>
      <c r="F5" s="5">
        <v>4</v>
      </c>
    </row>
    <row r="6" spans="1:15" hidden="1">
      <c r="A6" t="s">
        <v>362</v>
      </c>
      <c r="B6" t="s">
        <v>52</v>
      </c>
      <c r="C6" s="3">
        <v>8</v>
      </c>
      <c r="D6" t="s">
        <v>53</v>
      </c>
      <c r="F6" s="5" t="s">
        <v>255</v>
      </c>
    </row>
    <row r="7" spans="1:15" hidden="1">
      <c r="A7" t="s">
        <v>363</v>
      </c>
      <c r="B7" t="s">
        <v>55</v>
      </c>
      <c r="C7" s="3">
        <v>16</v>
      </c>
      <c r="D7" t="s">
        <v>29</v>
      </c>
      <c r="F7" s="5" t="s">
        <v>233</v>
      </c>
    </row>
    <row r="8" spans="1:15" hidden="1">
      <c r="A8" t="s">
        <v>364</v>
      </c>
      <c r="B8" t="s">
        <v>55</v>
      </c>
      <c r="C8" s="3">
        <v>128</v>
      </c>
      <c r="D8" t="s">
        <v>53</v>
      </c>
      <c r="F8" s="5" t="s">
        <v>380</v>
      </c>
    </row>
    <row r="9" spans="1:15" hidden="1">
      <c r="A9" t="s">
        <v>198</v>
      </c>
      <c r="B9" t="s">
        <v>52</v>
      </c>
      <c r="C9" s="3">
        <v>8</v>
      </c>
      <c r="D9" t="s">
        <v>53</v>
      </c>
      <c r="F9" s="5" t="s">
        <v>255</v>
      </c>
    </row>
    <row r="10" spans="1:15" ht="15.6" hidden="1">
      <c r="A10" s="2" t="s">
        <v>201</v>
      </c>
      <c r="B10" t="s">
        <v>52</v>
      </c>
      <c r="C10" s="3">
        <v>8</v>
      </c>
      <c r="D10" t="s">
        <v>53</v>
      </c>
      <c r="F10" s="5">
        <v>6</v>
      </c>
    </row>
    <row r="11" spans="1:15" hidden="1">
      <c r="A11" t="s">
        <v>365</v>
      </c>
      <c r="B11" t="s">
        <v>52</v>
      </c>
      <c r="C11" s="3">
        <v>8</v>
      </c>
      <c r="D11" t="s">
        <v>53</v>
      </c>
      <c r="F11" s="5" t="s">
        <v>381</v>
      </c>
    </row>
    <row r="12" spans="1:15" hidden="1">
      <c r="A12" t="s">
        <v>366</v>
      </c>
      <c r="B12" t="s">
        <v>55</v>
      </c>
      <c r="C12" s="3">
        <v>16</v>
      </c>
      <c r="D12" t="s">
        <v>29</v>
      </c>
      <c r="F12" s="5" t="s">
        <v>241</v>
      </c>
    </row>
    <row r="13" spans="1:15" hidden="1">
      <c r="A13" t="s">
        <v>367</v>
      </c>
      <c r="B13" t="s">
        <v>55</v>
      </c>
      <c r="C13" s="3">
        <v>16</v>
      </c>
      <c r="D13" t="s">
        <v>29</v>
      </c>
      <c r="F13" s="5" t="s">
        <v>241</v>
      </c>
    </row>
    <row r="14" spans="1:15" hidden="1">
      <c r="A14" t="s">
        <v>368</v>
      </c>
      <c r="B14" t="s">
        <v>55</v>
      </c>
      <c r="C14" s="3">
        <v>16</v>
      </c>
      <c r="D14" t="s">
        <v>29</v>
      </c>
      <c r="F14" s="5" t="s">
        <v>233</v>
      </c>
    </row>
    <row r="15" spans="1:15" hidden="1">
      <c r="A15" t="s">
        <v>369</v>
      </c>
      <c r="B15" t="s">
        <v>55</v>
      </c>
      <c r="C15" s="3">
        <v>128</v>
      </c>
      <c r="D15" t="s">
        <v>53</v>
      </c>
      <c r="F15" s="5" t="s">
        <v>382</v>
      </c>
    </row>
    <row r="16" spans="1:15" hidden="1">
      <c r="A16" t="s">
        <v>370</v>
      </c>
      <c r="B16" t="s">
        <v>52</v>
      </c>
      <c r="C16" s="3">
        <v>8</v>
      </c>
      <c r="D16" t="s">
        <v>53</v>
      </c>
      <c r="F16" s="5" t="s">
        <v>255</v>
      </c>
    </row>
    <row r="17" spans="1:6" hidden="1">
      <c r="A17" t="s">
        <v>371</v>
      </c>
      <c r="B17" t="s">
        <v>55</v>
      </c>
      <c r="C17" s="3">
        <v>16</v>
      </c>
      <c r="D17" t="s">
        <v>29</v>
      </c>
      <c r="F17" s="5" t="s">
        <v>233</v>
      </c>
    </row>
    <row r="18" spans="1:6" hidden="1">
      <c r="A18" t="s">
        <v>372</v>
      </c>
      <c r="B18" t="s">
        <v>55</v>
      </c>
      <c r="C18" s="3">
        <v>16</v>
      </c>
      <c r="D18" t="s">
        <v>29</v>
      </c>
      <c r="F18" s="5" t="s">
        <v>241</v>
      </c>
    </row>
    <row r="19" spans="1:6" hidden="1">
      <c r="A19" t="s">
        <v>373</v>
      </c>
      <c r="B19" t="s">
        <v>55</v>
      </c>
      <c r="C19" s="3">
        <v>16</v>
      </c>
      <c r="D19" t="s">
        <v>29</v>
      </c>
      <c r="F19" s="5" t="s">
        <v>241</v>
      </c>
    </row>
    <row r="20" spans="1:6" hidden="1">
      <c r="A20" t="s">
        <v>374</v>
      </c>
      <c r="B20" t="s">
        <v>55</v>
      </c>
      <c r="C20" s="3">
        <v>16</v>
      </c>
      <c r="D20" t="s">
        <v>29</v>
      </c>
      <c r="F20" s="5" t="s">
        <v>241</v>
      </c>
    </row>
    <row r="21" spans="1:6" hidden="1">
      <c r="A21" t="s">
        <v>68</v>
      </c>
      <c r="B21" t="s">
        <v>52</v>
      </c>
      <c r="C21" s="3">
        <v>8</v>
      </c>
      <c r="D21" t="s">
        <v>53</v>
      </c>
      <c r="F21" s="5" t="s">
        <v>240</v>
      </c>
    </row>
    <row r="22" spans="1:6" hidden="1">
      <c r="A22" t="s">
        <v>375</v>
      </c>
      <c r="B22" t="s">
        <v>52</v>
      </c>
      <c r="C22" s="3">
        <v>8</v>
      </c>
      <c r="D22" t="s">
        <v>53</v>
      </c>
      <c r="F22" s="5" t="s">
        <v>380</v>
      </c>
    </row>
    <row r="23" spans="1:6" hidden="1">
      <c r="A23" t="s">
        <v>376</v>
      </c>
      <c r="B23" t="s">
        <v>55</v>
      </c>
      <c r="C23" s="3">
        <v>16</v>
      </c>
      <c r="D23" t="s">
        <v>29</v>
      </c>
      <c r="F23" s="5" t="s">
        <v>229</v>
      </c>
    </row>
    <row r="24" spans="1:6" hidden="1">
      <c r="A24" t="s">
        <v>377</v>
      </c>
      <c r="B24" t="s">
        <v>52</v>
      </c>
      <c r="C24" s="3">
        <v>8</v>
      </c>
      <c r="D24" t="s">
        <v>53</v>
      </c>
      <c r="F24" s="5" t="s">
        <v>255</v>
      </c>
    </row>
    <row r="25" spans="1:6" hidden="1">
      <c r="A25" t="s">
        <v>206</v>
      </c>
      <c r="B25" t="s">
        <v>52</v>
      </c>
      <c r="C25" s="3">
        <v>8</v>
      </c>
      <c r="D25" t="s">
        <v>53</v>
      </c>
      <c r="F25" s="5" t="s">
        <v>255</v>
      </c>
    </row>
    <row r="26" spans="1:6" hidden="1">
      <c r="A26" t="s">
        <v>378</v>
      </c>
      <c r="B26" t="s">
        <v>55</v>
      </c>
      <c r="C26" s="3">
        <v>128</v>
      </c>
      <c r="D26" t="s">
        <v>53</v>
      </c>
      <c r="F26" s="5" t="s">
        <v>382</v>
      </c>
    </row>
    <row r="27" spans="1:6" hidden="1">
      <c r="A27" t="s">
        <v>379</v>
      </c>
      <c r="B27" t="s">
        <v>52</v>
      </c>
      <c r="C27" s="3">
        <v>8</v>
      </c>
      <c r="D27" t="s">
        <v>53</v>
      </c>
      <c r="F27" s="5" t="s">
        <v>381</v>
      </c>
    </row>
    <row r="28" spans="1:6" ht="15.6">
      <c r="A28" s="596" t="s">
        <v>737</v>
      </c>
      <c r="B28" s="596" t="s">
        <v>737</v>
      </c>
      <c r="C28" s="597">
        <v>0</v>
      </c>
      <c r="D28" s="596" t="s">
        <v>737</v>
      </c>
      <c r="E28" s="596" t="s">
        <v>737</v>
      </c>
      <c r="F28" s="597">
        <v>0</v>
      </c>
    </row>
    <row r="29" spans="1:6" ht="15.6">
      <c r="A29" s="596" t="s">
        <v>737</v>
      </c>
      <c r="B29" s="596" t="s">
        <v>737</v>
      </c>
      <c r="C29" s="597">
        <v>0</v>
      </c>
      <c r="D29" s="596" t="s">
        <v>737</v>
      </c>
      <c r="E29" s="596" t="s">
        <v>737</v>
      </c>
      <c r="F29" s="597">
        <v>0</v>
      </c>
    </row>
    <row r="30" spans="1:6" ht="15.6">
      <c r="A30" s="596" t="s">
        <v>737</v>
      </c>
      <c r="B30" s="596" t="s">
        <v>737</v>
      </c>
      <c r="C30" s="597">
        <v>0</v>
      </c>
      <c r="D30" s="596" t="s">
        <v>737</v>
      </c>
      <c r="E30" s="596" t="s">
        <v>737</v>
      </c>
      <c r="F30" s="597">
        <v>0</v>
      </c>
    </row>
    <row r="31" spans="1:6" ht="15.6">
      <c r="A31" s="596" t="s">
        <v>737</v>
      </c>
      <c r="B31" s="596" t="s">
        <v>737</v>
      </c>
      <c r="C31" s="597">
        <v>0</v>
      </c>
      <c r="D31" s="596" t="s">
        <v>737</v>
      </c>
      <c r="E31" s="596" t="s">
        <v>737</v>
      </c>
      <c r="F31" s="597">
        <v>0</v>
      </c>
    </row>
    <row r="32" spans="1:6" ht="15.6">
      <c r="A32" s="596" t="s">
        <v>737</v>
      </c>
      <c r="B32" s="596" t="s">
        <v>737</v>
      </c>
      <c r="C32" s="597">
        <v>0</v>
      </c>
      <c r="D32" s="596" t="s">
        <v>737</v>
      </c>
      <c r="E32" s="596" t="s">
        <v>737</v>
      </c>
      <c r="F32" s="597">
        <v>0</v>
      </c>
    </row>
    <row r="33" spans="1:6" ht="15.6">
      <c r="A33" s="596" t="s">
        <v>737</v>
      </c>
      <c r="B33" s="596" t="s">
        <v>737</v>
      </c>
      <c r="C33" s="597">
        <v>0</v>
      </c>
      <c r="D33" s="596" t="s">
        <v>737</v>
      </c>
      <c r="E33" s="596" t="s">
        <v>737</v>
      </c>
      <c r="F33" s="597">
        <v>0</v>
      </c>
    </row>
    <row r="34" spans="1:6" ht="15.6">
      <c r="A34" s="596" t="s">
        <v>737</v>
      </c>
      <c r="B34" s="596" t="s">
        <v>737</v>
      </c>
      <c r="C34" s="597">
        <v>0</v>
      </c>
      <c r="D34" s="596" t="s">
        <v>737</v>
      </c>
      <c r="E34" s="596" t="s">
        <v>737</v>
      </c>
      <c r="F34" s="597">
        <v>0</v>
      </c>
    </row>
    <row r="35" spans="1:6" ht="15.6">
      <c r="A35" s="596" t="s">
        <v>737</v>
      </c>
      <c r="B35" s="596" t="s">
        <v>737</v>
      </c>
      <c r="C35" s="597">
        <v>0</v>
      </c>
      <c r="D35" s="596" t="s">
        <v>737</v>
      </c>
      <c r="E35" s="596" t="s">
        <v>737</v>
      </c>
      <c r="F35" s="597">
        <v>0</v>
      </c>
    </row>
    <row r="38" spans="1:6" ht="18">
      <c r="A38" s="1010" t="s">
        <v>448</v>
      </c>
      <c r="B38" s="1010"/>
      <c r="C38" s="1010"/>
      <c r="D38" s="1010"/>
    </row>
    <row r="39" spans="1:6">
      <c r="A39" s="605" t="s">
        <v>46</v>
      </c>
      <c r="B39" s="599" t="s">
        <v>49</v>
      </c>
      <c r="C39" s="599" t="s">
        <v>48</v>
      </c>
      <c r="D39" s="599" t="s">
        <v>47</v>
      </c>
    </row>
    <row r="40" spans="1:6" ht="15.6" hidden="1">
      <c r="A40" s="2" t="s">
        <v>13</v>
      </c>
      <c r="C40" s="3">
        <v>1</v>
      </c>
      <c r="D40" t="s">
        <v>13</v>
      </c>
    </row>
    <row r="41" spans="1:6" hidden="1">
      <c r="A41" t="s">
        <v>441</v>
      </c>
      <c r="B41" t="s">
        <v>55</v>
      </c>
      <c r="C41" s="3">
        <v>128</v>
      </c>
      <c r="D41" t="s">
        <v>24</v>
      </c>
    </row>
    <row r="42" spans="1:6" hidden="1">
      <c r="A42" t="s">
        <v>442</v>
      </c>
      <c r="B42" t="s">
        <v>55</v>
      </c>
      <c r="C42" s="3">
        <v>128</v>
      </c>
      <c r="D42" t="s">
        <v>24</v>
      </c>
    </row>
    <row r="43" spans="1:6" hidden="1">
      <c r="A43" t="s">
        <v>433</v>
      </c>
      <c r="B43" t="s">
        <v>55</v>
      </c>
      <c r="C43" s="3">
        <v>128</v>
      </c>
      <c r="D43" t="s">
        <v>24</v>
      </c>
    </row>
    <row r="44" spans="1:6" hidden="1">
      <c r="A44" t="s">
        <v>436</v>
      </c>
      <c r="B44" t="s">
        <v>55</v>
      </c>
      <c r="C44" s="3">
        <v>128</v>
      </c>
      <c r="D44" t="s">
        <v>24</v>
      </c>
    </row>
    <row r="45" spans="1:6" hidden="1">
      <c r="A45" t="s">
        <v>443</v>
      </c>
      <c r="B45" t="s">
        <v>55</v>
      </c>
      <c r="C45" s="3">
        <v>128</v>
      </c>
      <c r="D45" t="s">
        <v>24</v>
      </c>
    </row>
    <row r="46" spans="1:6" hidden="1">
      <c r="A46" t="s">
        <v>435</v>
      </c>
      <c r="B46" t="s">
        <v>55</v>
      </c>
      <c r="C46" s="3">
        <v>128</v>
      </c>
      <c r="D46" t="s">
        <v>24</v>
      </c>
    </row>
    <row r="47" spans="1:6" hidden="1">
      <c r="A47" t="s">
        <v>437</v>
      </c>
      <c r="B47" t="s">
        <v>55</v>
      </c>
      <c r="C47" s="3">
        <v>128</v>
      </c>
      <c r="D47" t="s">
        <v>24</v>
      </c>
    </row>
    <row r="48" spans="1:6" hidden="1">
      <c r="A48" t="s">
        <v>434</v>
      </c>
      <c r="B48" t="s">
        <v>55</v>
      </c>
      <c r="C48" s="3">
        <v>128</v>
      </c>
      <c r="D48" t="s">
        <v>24</v>
      </c>
    </row>
    <row r="49" spans="1:4" hidden="1">
      <c r="A49" t="s">
        <v>444</v>
      </c>
      <c r="B49" t="s">
        <v>55</v>
      </c>
      <c r="C49" s="3">
        <v>128</v>
      </c>
      <c r="D49" t="s">
        <v>24</v>
      </c>
    </row>
    <row r="50" spans="1:4" hidden="1">
      <c r="A50" t="s">
        <v>445</v>
      </c>
      <c r="B50" t="s">
        <v>55</v>
      </c>
      <c r="C50" s="3">
        <v>128</v>
      </c>
      <c r="D50" t="s">
        <v>24</v>
      </c>
    </row>
    <row r="51" spans="1:4" hidden="1">
      <c r="A51" t="s">
        <v>74</v>
      </c>
      <c r="B51" t="s">
        <v>55</v>
      </c>
      <c r="C51" s="3">
        <v>128</v>
      </c>
      <c r="D51" t="s">
        <v>24</v>
      </c>
    </row>
    <row r="52" spans="1:4" hidden="1">
      <c r="A52" t="s">
        <v>438</v>
      </c>
      <c r="B52" t="s">
        <v>55</v>
      </c>
      <c r="C52" s="3">
        <v>128</v>
      </c>
      <c r="D52" t="s">
        <v>24</v>
      </c>
    </row>
    <row r="53" spans="1:4" hidden="1">
      <c r="A53" t="s">
        <v>439</v>
      </c>
      <c r="B53" t="s">
        <v>55</v>
      </c>
      <c r="C53" s="3">
        <v>128</v>
      </c>
      <c r="D53" t="s">
        <v>24</v>
      </c>
    </row>
    <row r="54" spans="1:4" hidden="1">
      <c r="A54" t="s">
        <v>446</v>
      </c>
      <c r="B54" t="s">
        <v>55</v>
      </c>
      <c r="C54" s="3">
        <v>128</v>
      </c>
      <c r="D54" t="s">
        <v>24</v>
      </c>
    </row>
    <row r="55" spans="1:4" hidden="1">
      <c r="A55" t="s">
        <v>75</v>
      </c>
      <c r="B55" t="s">
        <v>55</v>
      </c>
      <c r="C55" s="3">
        <v>128</v>
      </c>
      <c r="D55" t="s">
        <v>24</v>
      </c>
    </row>
    <row r="56" spans="1:4" hidden="1">
      <c r="A56" t="s">
        <v>440</v>
      </c>
      <c r="B56" t="s">
        <v>55</v>
      </c>
      <c r="C56" s="3">
        <v>128</v>
      </c>
      <c r="D56" t="s">
        <v>24</v>
      </c>
    </row>
    <row r="57" spans="1:4" hidden="1">
      <c r="A57" t="s">
        <v>447</v>
      </c>
      <c r="B57" t="s">
        <v>55</v>
      </c>
      <c r="C57" s="3">
        <v>128</v>
      </c>
      <c r="D57" t="s">
        <v>24</v>
      </c>
    </row>
    <row r="58" spans="1:4" ht="15.6">
      <c r="A58" s="596" t="s">
        <v>737</v>
      </c>
      <c r="B58" s="596" t="s">
        <v>737</v>
      </c>
      <c r="C58" s="604">
        <v>0</v>
      </c>
      <c r="D58" s="596" t="s">
        <v>737</v>
      </c>
    </row>
    <row r="59" spans="1:4" ht="15.6">
      <c r="A59" s="596" t="s">
        <v>737</v>
      </c>
      <c r="B59" s="596" t="s">
        <v>737</v>
      </c>
      <c r="C59" s="604">
        <v>0</v>
      </c>
      <c r="D59" s="596" t="s">
        <v>737</v>
      </c>
    </row>
    <row r="60" spans="1:4" ht="15.6">
      <c r="A60" s="596" t="s">
        <v>737</v>
      </c>
      <c r="B60" s="596" t="s">
        <v>737</v>
      </c>
      <c r="C60" s="604">
        <v>0</v>
      </c>
      <c r="D60" s="596" t="s">
        <v>737</v>
      </c>
    </row>
    <row r="61" spans="1:4" ht="15.6">
      <c r="A61" s="596" t="s">
        <v>737</v>
      </c>
      <c r="B61" s="596" t="s">
        <v>737</v>
      </c>
      <c r="C61" s="604">
        <v>0</v>
      </c>
      <c r="D61" s="596" t="s">
        <v>737</v>
      </c>
    </row>
    <row r="62" spans="1:4" ht="15.6">
      <c r="A62" s="596" t="s">
        <v>737</v>
      </c>
      <c r="B62" s="596" t="s">
        <v>737</v>
      </c>
      <c r="C62" s="604">
        <v>0</v>
      </c>
      <c r="D62" s="596" t="s">
        <v>737</v>
      </c>
    </row>
    <row r="63" spans="1:4" ht="15.6">
      <c r="A63" s="596" t="s">
        <v>737</v>
      </c>
      <c r="B63" s="596" t="s">
        <v>737</v>
      </c>
      <c r="C63" s="604">
        <v>0</v>
      </c>
      <c r="D63" s="596" t="s">
        <v>737</v>
      </c>
    </row>
    <row r="65" spans="1:6" ht="18">
      <c r="A65" s="1010" t="s">
        <v>161</v>
      </c>
      <c r="B65" s="1010"/>
      <c r="C65" s="1010"/>
      <c r="D65" s="1010"/>
    </row>
    <row r="66" spans="1:6">
      <c r="A66" s="605" t="s">
        <v>46</v>
      </c>
      <c r="B66" s="599" t="s">
        <v>49</v>
      </c>
      <c r="C66" s="599" t="s">
        <v>48</v>
      </c>
      <c r="D66" s="599" t="s">
        <v>47</v>
      </c>
    </row>
    <row r="67" spans="1:6" ht="15.6" hidden="1">
      <c r="A67" s="2" t="s">
        <v>13</v>
      </c>
      <c r="C67" s="3">
        <v>1</v>
      </c>
      <c r="D67" t="s">
        <v>13</v>
      </c>
    </row>
    <row r="68" spans="1:6" hidden="1">
      <c r="A68" t="s">
        <v>162</v>
      </c>
      <c r="B68" t="s">
        <v>52</v>
      </c>
      <c r="C68" s="3">
        <v>8</v>
      </c>
      <c r="D68" t="s">
        <v>53</v>
      </c>
    </row>
    <row r="69" spans="1:6" hidden="1">
      <c r="A69" t="s">
        <v>163</v>
      </c>
      <c r="B69" t="s">
        <v>55</v>
      </c>
      <c r="C69" s="3">
        <v>1</v>
      </c>
      <c r="D69" t="s">
        <v>53</v>
      </c>
    </row>
    <row r="70" spans="1:6" hidden="1">
      <c r="A70" t="s">
        <v>164</v>
      </c>
      <c r="B70" t="s">
        <v>58</v>
      </c>
      <c r="C70" s="3">
        <v>1</v>
      </c>
      <c r="D70" t="s">
        <v>29</v>
      </c>
    </row>
    <row r="71" spans="1:6" hidden="1">
      <c r="A71" t="s">
        <v>165</v>
      </c>
      <c r="B71" t="s">
        <v>50</v>
      </c>
      <c r="C71" s="3">
        <v>4</v>
      </c>
      <c r="D71" t="s">
        <v>53</v>
      </c>
    </row>
    <row r="72" spans="1:6" hidden="1"/>
    <row r="73" spans="1:6" hidden="1"/>
    <row r="74" spans="1:6" ht="15.6" hidden="1">
      <c r="A74" s="2" t="s">
        <v>13</v>
      </c>
      <c r="C74" s="3">
        <v>1</v>
      </c>
      <c r="D74" t="s">
        <v>13</v>
      </c>
    </row>
    <row r="75" spans="1:6" ht="15.6" hidden="1">
      <c r="A75" s="2" t="s">
        <v>484</v>
      </c>
      <c r="B75" s="2" t="s">
        <v>55</v>
      </c>
      <c r="C75" s="784">
        <v>128</v>
      </c>
      <c r="D75" s="2" t="s">
        <v>53</v>
      </c>
      <c r="E75" s="2" t="s">
        <v>867</v>
      </c>
      <c r="F75" s="2" t="s">
        <v>878</v>
      </c>
    </row>
    <row r="76" spans="1:6" ht="15.6" hidden="1">
      <c r="A76" s="2" t="s">
        <v>879</v>
      </c>
      <c r="B76" s="2" t="s">
        <v>55</v>
      </c>
      <c r="C76" s="784">
        <v>128</v>
      </c>
      <c r="D76" s="2" t="s">
        <v>53</v>
      </c>
      <c r="E76" s="2" t="s">
        <v>864</v>
      </c>
      <c r="F76" s="785" t="s">
        <v>880</v>
      </c>
    </row>
    <row r="77" spans="1:6" ht="15.6" hidden="1">
      <c r="A77" s="2" t="s">
        <v>883</v>
      </c>
      <c r="B77" s="2" t="s">
        <v>58</v>
      </c>
      <c r="C77" s="784">
        <v>1</v>
      </c>
      <c r="D77" s="2" t="s">
        <v>29</v>
      </c>
      <c r="E77" s="2" t="s">
        <v>864</v>
      </c>
      <c r="F77" s="785" t="s">
        <v>865</v>
      </c>
    </row>
    <row r="78" spans="1:6" ht="15.6" hidden="1">
      <c r="A78" s="2" t="s">
        <v>884</v>
      </c>
      <c r="B78" s="2" t="s">
        <v>55</v>
      </c>
      <c r="C78" s="784">
        <v>128</v>
      </c>
      <c r="D78" s="2" t="s">
        <v>53</v>
      </c>
      <c r="E78" s="2" t="s">
        <v>864</v>
      </c>
      <c r="F78" s="785" t="s">
        <v>885</v>
      </c>
    </row>
    <row r="79" spans="1:6" ht="15.6" hidden="1">
      <c r="A79" s="2" t="s">
        <v>888</v>
      </c>
      <c r="B79" s="2" t="s">
        <v>55</v>
      </c>
      <c r="C79" s="784">
        <v>128</v>
      </c>
      <c r="D79" s="2" t="s">
        <v>53</v>
      </c>
      <c r="E79" s="2" t="s">
        <v>864</v>
      </c>
      <c r="F79" s="785" t="s">
        <v>889</v>
      </c>
    </row>
    <row r="80" spans="1:6" ht="15.6" hidden="1">
      <c r="A80" s="2" t="s">
        <v>895</v>
      </c>
      <c r="B80" s="2" t="s">
        <v>55</v>
      </c>
      <c r="C80" s="784">
        <v>128</v>
      </c>
      <c r="D80" s="2" t="s">
        <v>53</v>
      </c>
      <c r="E80" s="2" t="s">
        <v>864</v>
      </c>
      <c r="F80" s="785" t="s">
        <v>896</v>
      </c>
    </row>
    <row r="81" spans="1:6" ht="15.6" hidden="1">
      <c r="A81" s="2" t="s">
        <v>979</v>
      </c>
      <c r="B81" s="2" t="s">
        <v>52</v>
      </c>
      <c r="C81" s="784">
        <v>8</v>
      </c>
      <c r="D81" s="2" t="s">
        <v>53</v>
      </c>
      <c r="E81" s="2" t="s">
        <v>864</v>
      </c>
      <c r="F81" s="785" t="s">
        <v>901</v>
      </c>
    </row>
    <row r="82" spans="1:6" ht="15.6" hidden="1">
      <c r="A82" s="2" t="s">
        <v>1002</v>
      </c>
      <c r="B82" s="2" t="s">
        <v>58</v>
      </c>
      <c r="C82" s="784">
        <v>1</v>
      </c>
      <c r="D82" s="2" t="s">
        <v>29</v>
      </c>
      <c r="E82" s="2" t="s">
        <v>864</v>
      </c>
      <c r="F82" s="785" t="s">
        <v>865</v>
      </c>
    </row>
    <row r="83" spans="1:6" ht="15.6" hidden="1">
      <c r="A83" s="2" t="s">
        <v>906</v>
      </c>
      <c r="B83" s="2" t="s">
        <v>55</v>
      </c>
      <c r="C83" s="784">
        <v>128</v>
      </c>
      <c r="D83" s="2" t="s">
        <v>53</v>
      </c>
      <c r="E83" s="2" t="s">
        <v>864</v>
      </c>
      <c r="F83" s="785" t="s">
        <v>907</v>
      </c>
    </row>
    <row r="84" spans="1:6" ht="15.6" hidden="1">
      <c r="A84" s="2" t="s">
        <v>981</v>
      </c>
      <c r="B84" s="2" t="s">
        <v>55</v>
      </c>
      <c r="C84" s="784">
        <v>128</v>
      </c>
      <c r="D84" s="2" t="s">
        <v>53</v>
      </c>
      <c r="E84" s="2" t="s">
        <v>864</v>
      </c>
      <c r="F84" s="785" t="s">
        <v>910</v>
      </c>
    </row>
    <row r="85" spans="1:6" ht="15.6" hidden="1">
      <c r="A85" s="2" t="s">
        <v>915</v>
      </c>
      <c r="B85" s="2" t="s">
        <v>55</v>
      </c>
      <c r="C85" s="784">
        <v>128</v>
      </c>
      <c r="D85" s="2" t="s">
        <v>53</v>
      </c>
      <c r="E85" s="2" t="s">
        <v>876</v>
      </c>
      <c r="F85" s="2" t="s">
        <v>916</v>
      </c>
    </row>
    <row r="86" spans="1:6" ht="15.6" hidden="1">
      <c r="A86" s="2" t="s">
        <v>922</v>
      </c>
      <c r="B86" s="2" t="s">
        <v>58</v>
      </c>
      <c r="C86" s="784">
        <v>1</v>
      </c>
      <c r="D86" s="2" t="s">
        <v>29</v>
      </c>
      <c r="E86" s="2" t="s">
        <v>864</v>
      </c>
      <c r="F86" s="785" t="s">
        <v>865</v>
      </c>
    </row>
    <row r="87" spans="1:6" ht="15.6" hidden="1">
      <c r="A87" s="2" t="s">
        <v>923</v>
      </c>
      <c r="B87" s="2" t="s">
        <v>55</v>
      </c>
      <c r="C87" s="784">
        <v>128</v>
      </c>
      <c r="D87" s="2" t="s">
        <v>53</v>
      </c>
      <c r="E87" s="2" t="s">
        <v>867</v>
      </c>
      <c r="F87" s="2" t="s">
        <v>916</v>
      </c>
    </row>
    <row r="88" spans="1:6" ht="15.6" hidden="1">
      <c r="A88" s="2" t="s">
        <v>924</v>
      </c>
      <c r="B88" s="2" t="s">
        <v>55</v>
      </c>
      <c r="C88" s="784">
        <v>128</v>
      </c>
      <c r="D88" s="2" t="s">
        <v>53</v>
      </c>
      <c r="E88" s="2" t="s">
        <v>867</v>
      </c>
      <c r="F88" s="2" t="s">
        <v>916</v>
      </c>
    </row>
    <row r="89" spans="1:6" ht="15.6" hidden="1">
      <c r="A89" s="2" t="s">
        <v>925</v>
      </c>
      <c r="B89" s="2" t="s">
        <v>55</v>
      </c>
      <c r="C89" s="784">
        <v>128</v>
      </c>
      <c r="D89" s="2" t="s">
        <v>53</v>
      </c>
      <c r="E89" s="2" t="s">
        <v>876</v>
      </c>
      <c r="F89" s="2" t="s">
        <v>916</v>
      </c>
    </row>
    <row r="90" spans="1:6" ht="15.6" hidden="1">
      <c r="A90" s="2" t="s">
        <v>928</v>
      </c>
      <c r="B90" s="2" t="s">
        <v>55</v>
      </c>
      <c r="C90" s="784">
        <v>128</v>
      </c>
      <c r="D90" s="2" t="s">
        <v>53</v>
      </c>
      <c r="E90" s="2" t="s">
        <v>864</v>
      </c>
      <c r="F90" s="785" t="s">
        <v>929</v>
      </c>
    </row>
    <row r="91" spans="1:6" ht="15.6" hidden="1">
      <c r="A91" s="2" t="s">
        <v>936</v>
      </c>
      <c r="B91" s="2" t="s">
        <v>55</v>
      </c>
      <c r="C91" s="784">
        <v>128</v>
      </c>
      <c r="D91" s="2" t="s">
        <v>53</v>
      </c>
      <c r="E91" s="2" t="s">
        <v>876</v>
      </c>
      <c r="F91" s="2" t="s">
        <v>916</v>
      </c>
    </row>
    <row r="92" spans="1:6" ht="15.6" hidden="1">
      <c r="A92" s="2" t="s">
        <v>940</v>
      </c>
      <c r="B92" s="2" t="s">
        <v>55</v>
      </c>
      <c r="C92" s="784">
        <v>128</v>
      </c>
      <c r="D92" s="2" t="s">
        <v>53</v>
      </c>
      <c r="E92" s="2" t="s">
        <v>864</v>
      </c>
      <c r="F92" s="785" t="s">
        <v>889</v>
      </c>
    </row>
    <row r="93" spans="1:6" ht="15.6" hidden="1">
      <c r="A93" s="2" t="s">
        <v>490</v>
      </c>
      <c r="B93" s="2" t="s">
        <v>55</v>
      </c>
      <c r="C93" s="784">
        <v>128</v>
      </c>
      <c r="D93" s="2" t="s">
        <v>53</v>
      </c>
      <c r="E93" s="2" t="s">
        <v>864</v>
      </c>
      <c r="F93" s="785" t="s">
        <v>896</v>
      </c>
    </row>
    <row r="94" spans="1:6" ht="15.6" hidden="1">
      <c r="A94" s="2" t="s">
        <v>941</v>
      </c>
      <c r="B94" s="2" t="s">
        <v>55</v>
      </c>
      <c r="C94" s="784">
        <v>128</v>
      </c>
      <c r="D94" s="2" t="s">
        <v>53</v>
      </c>
      <c r="E94" s="2" t="s">
        <v>876</v>
      </c>
      <c r="F94" s="2" t="s">
        <v>916</v>
      </c>
    </row>
    <row r="95" spans="1:6" ht="15.6" hidden="1">
      <c r="A95" s="2" t="s">
        <v>991</v>
      </c>
      <c r="B95" s="2" t="s">
        <v>55</v>
      </c>
      <c r="C95" s="784">
        <v>128</v>
      </c>
      <c r="D95" s="2" t="s">
        <v>53</v>
      </c>
      <c r="E95" s="2" t="s">
        <v>864</v>
      </c>
      <c r="F95" s="785" t="s">
        <v>907</v>
      </c>
    </row>
    <row r="96" spans="1:6" ht="15.6" hidden="1">
      <c r="A96" s="2" t="s">
        <v>492</v>
      </c>
      <c r="B96" s="2" t="s">
        <v>55</v>
      </c>
      <c r="C96" s="784">
        <v>128</v>
      </c>
      <c r="D96" s="2" t="s">
        <v>53</v>
      </c>
      <c r="E96" s="2" t="s">
        <v>876</v>
      </c>
      <c r="F96" s="2" t="s">
        <v>916</v>
      </c>
    </row>
    <row r="97" spans="1:6" ht="15.6" hidden="1">
      <c r="A97" s="2" t="s">
        <v>946</v>
      </c>
      <c r="B97" s="2" t="s">
        <v>55</v>
      </c>
      <c r="C97" s="784">
        <v>128</v>
      </c>
      <c r="D97" s="2" t="s">
        <v>53</v>
      </c>
      <c r="E97" s="2" t="s">
        <v>864</v>
      </c>
      <c r="F97" s="785" t="s">
        <v>947</v>
      </c>
    </row>
    <row r="98" spans="1:6" ht="15.6" hidden="1">
      <c r="A98" s="2" t="s">
        <v>1000</v>
      </c>
      <c r="B98" s="2" t="s">
        <v>55</v>
      </c>
      <c r="C98" s="784">
        <v>128</v>
      </c>
      <c r="D98" s="2" t="s">
        <v>53</v>
      </c>
      <c r="E98" s="2" t="s">
        <v>867</v>
      </c>
      <c r="F98" s="2" t="s">
        <v>878</v>
      </c>
    </row>
    <row r="99" spans="1:6" ht="15.6" hidden="1">
      <c r="A99" s="2" t="s">
        <v>493</v>
      </c>
      <c r="B99" s="2" t="s">
        <v>55</v>
      </c>
      <c r="C99" s="784">
        <v>128</v>
      </c>
      <c r="D99" s="2" t="s">
        <v>53</v>
      </c>
      <c r="E99" s="2" t="s">
        <v>864</v>
      </c>
      <c r="F99" s="785" t="s">
        <v>885</v>
      </c>
    </row>
    <row r="100" spans="1:6" ht="15.6" hidden="1">
      <c r="A100" s="2" t="s">
        <v>954</v>
      </c>
      <c r="B100" s="2" t="s">
        <v>55</v>
      </c>
      <c r="C100" s="784">
        <v>128</v>
      </c>
      <c r="D100" s="2" t="s">
        <v>53</v>
      </c>
      <c r="E100" s="2" t="s">
        <v>864</v>
      </c>
      <c r="F100" s="785" t="s">
        <v>955</v>
      </c>
    </row>
    <row r="101" spans="1:6" ht="15.6" hidden="1">
      <c r="A101" s="2" t="s">
        <v>1003</v>
      </c>
      <c r="B101" s="2" t="s">
        <v>55</v>
      </c>
      <c r="C101" s="784">
        <v>128</v>
      </c>
      <c r="D101" s="2" t="s">
        <v>53</v>
      </c>
      <c r="E101" s="2" t="s">
        <v>864</v>
      </c>
      <c r="F101" s="785" t="s">
        <v>889</v>
      </c>
    </row>
    <row r="102" spans="1:6" ht="15.6" hidden="1">
      <c r="A102" s="2" t="s">
        <v>957</v>
      </c>
      <c r="B102" s="2" t="s">
        <v>55</v>
      </c>
      <c r="C102" s="784">
        <v>128</v>
      </c>
      <c r="D102" s="2" t="s">
        <v>53</v>
      </c>
      <c r="E102" s="2" t="s">
        <v>876</v>
      </c>
      <c r="F102" s="2" t="s">
        <v>916</v>
      </c>
    </row>
    <row r="103" spans="1:6" ht="15.6" hidden="1">
      <c r="A103" s="2" t="s">
        <v>1004</v>
      </c>
      <c r="B103" s="2" t="s">
        <v>58</v>
      </c>
      <c r="C103" s="784">
        <v>1</v>
      </c>
      <c r="D103" s="2" t="s">
        <v>29</v>
      </c>
      <c r="E103" s="2" t="s">
        <v>864</v>
      </c>
      <c r="F103" s="785" t="s">
        <v>865</v>
      </c>
    </row>
    <row r="104" spans="1:6" ht="15.6">
      <c r="A104" s="596" t="s">
        <v>737</v>
      </c>
      <c r="B104" s="596" t="s">
        <v>737</v>
      </c>
      <c r="C104" s="604">
        <v>0</v>
      </c>
      <c r="D104" s="596" t="s">
        <v>737</v>
      </c>
    </row>
    <row r="105" spans="1:6" ht="15.6">
      <c r="A105" s="596" t="s">
        <v>737</v>
      </c>
      <c r="B105" s="596" t="s">
        <v>737</v>
      </c>
      <c r="C105" s="604">
        <v>0</v>
      </c>
      <c r="D105" s="596" t="s">
        <v>737</v>
      </c>
    </row>
    <row r="106" spans="1:6" ht="15.6">
      <c r="A106" s="596" t="s">
        <v>737</v>
      </c>
      <c r="B106" s="596" t="s">
        <v>737</v>
      </c>
      <c r="C106" s="604">
        <v>0</v>
      </c>
      <c r="D106" s="596" t="s">
        <v>737</v>
      </c>
    </row>
    <row r="107" spans="1:6" ht="15.6">
      <c r="A107" s="596" t="s">
        <v>737</v>
      </c>
      <c r="B107" s="596" t="s">
        <v>737</v>
      </c>
      <c r="C107" s="604">
        <v>0</v>
      </c>
      <c r="D107" s="596" t="s">
        <v>737</v>
      </c>
    </row>
    <row r="108" spans="1:6" ht="15.6">
      <c r="A108" s="596" t="s">
        <v>737</v>
      </c>
      <c r="B108" s="596" t="s">
        <v>737</v>
      </c>
      <c r="C108" s="604">
        <v>0</v>
      </c>
      <c r="D108" s="596" t="s">
        <v>737</v>
      </c>
    </row>
    <row r="109" spans="1:6" ht="15.6">
      <c r="A109" s="596" t="s">
        <v>737</v>
      </c>
      <c r="B109" s="596" t="s">
        <v>737</v>
      </c>
      <c r="C109" s="604">
        <v>0</v>
      </c>
      <c r="D109" s="596" t="s">
        <v>737</v>
      </c>
    </row>
  </sheetData>
  <sheetProtection sheet="1" objects="1" scenarios="1"/>
  <mergeCells count="3">
    <mergeCell ref="A2:F2"/>
    <mergeCell ref="A38:D38"/>
    <mergeCell ref="A65:D6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1B5E6-05EB-47E2-A192-CB6F6380FE38}">
  <sheetPr codeName="Sheet15"/>
  <dimension ref="A1:M60"/>
  <sheetViews>
    <sheetView zoomScaleNormal="100" workbookViewId="0">
      <selection activeCell="I13" sqref="I13"/>
    </sheetView>
  </sheetViews>
  <sheetFormatPr defaultRowHeight="14.4"/>
  <cols>
    <col min="2" max="2" width="25" bestFit="1" customWidth="1"/>
    <col min="3" max="3" width="13.44140625" bestFit="1" customWidth="1"/>
    <col min="4" max="4" width="16.88671875" bestFit="1" customWidth="1"/>
    <col min="5" max="5" width="20.33203125" customWidth="1"/>
    <col min="6" max="6" width="33.109375" bestFit="1" customWidth="1"/>
    <col min="7" max="7" width="14.44140625" bestFit="1" customWidth="1"/>
    <col min="10" max="10" width="16.88671875" bestFit="1" customWidth="1"/>
    <col min="11" max="11" width="14.5546875" bestFit="1" customWidth="1"/>
    <col min="12" max="12" width="15.88671875" bestFit="1" customWidth="1"/>
  </cols>
  <sheetData>
    <row r="1" spans="1:12" ht="18">
      <c r="A1" s="1010" t="s">
        <v>610</v>
      </c>
      <c r="B1" s="1010"/>
      <c r="C1" s="1010"/>
      <c r="D1" s="1010"/>
      <c r="E1" s="1010"/>
      <c r="F1" s="1010"/>
      <c r="G1" s="1010"/>
    </row>
    <row r="2" spans="1:12" ht="15.6">
      <c r="A2" s="2"/>
      <c r="B2" s="546"/>
      <c r="C2" s="547" t="s">
        <v>607</v>
      </c>
      <c r="D2" s="547" t="s">
        <v>122</v>
      </c>
      <c r="E2" s="547" t="s">
        <v>606</v>
      </c>
      <c r="F2" s="555" t="s">
        <v>609</v>
      </c>
      <c r="G2" s="546" t="s">
        <v>713</v>
      </c>
      <c r="K2" s="364"/>
    </row>
    <row r="3" spans="1:12" ht="15.6">
      <c r="A3" s="2"/>
      <c r="B3" s="556"/>
      <c r="C3" s="557"/>
      <c r="D3" s="570" t="s">
        <v>146</v>
      </c>
      <c r="E3" s="557"/>
      <c r="F3" s="558"/>
      <c r="G3" s="2"/>
      <c r="K3" s="364"/>
    </row>
    <row r="4" spans="1:12" ht="15.6">
      <c r="A4" s="2"/>
      <c r="B4" s="2" t="s">
        <v>76</v>
      </c>
      <c r="C4" s="57">
        <f>'Crop Budget (Main)'!C11</f>
        <v>1</v>
      </c>
      <c r="D4" s="381">
        <v>100</v>
      </c>
      <c r="E4" s="526">
        <f>'Crop Budget (Main)'!C16</f>
        <v>0</v>
      </c>
      <c r="F4" s="526">
        <f>'Crop Budget (Main)'!C59</f>
        <v>0</v>
      </c>
      <c r="G4" s="552">
        <f>E4-F4</f>
        <v>0</v>
      </c>
    </row>
    <row r="5" spans="1:12" ht="15.6">
      <c r="A5" s="2"/>
      <c r="B5" s="2" t="s">
        <v>130</v>
      </c>
      <c r="C5" s="57">
        <f>'Crop Budget (Main)'!G11</f>
        <v>1</v>
      </c>
      <c r="D5" s="381">
        <v>100</v>
      </c>
      <c r="E5" s="526">
        <f>'Crop Budget (Main)'!G16</f>
        <v>0</v>
      </c>
      <c r="F5" s="526">
        <f>'Crop Budget (Main)'!G59</f>
        <v>0</v>
      </c>
      <c r="G5" s="552">
        <f t="shared" ref="G5:G6" si="0">E5-F5</f>
        <v>0</v>
      </c>
    </row>
    <row r="6" spans="1:12" ht="15.6">
      <c r="A6" s="2"/>
      <c r="B6" s="2" t="s">
        <v>131</v>
      </c>
      <c r="C6" s="57">
        <f>'Crop Budget (Main)'!K11</f>
        <v>1</v>
      </c>
      <c r="D6" s="381">
        <v>100</v>
      </c>
      <c r="E6" s="526">
        <f>'Crop Budget (Main)'!K16</f>
        <v>0</v>
      </c>
      <c r="F6" s="526">
        <f>'Crop Budget (Main)'!K59</f>
        <v>0</v>
      </c>
      <c r="G6" s="552">
        <f t="shared" si="0"/>
        <v>0</v>
      </c>
    </row>
    <row r="7" spans="1:12" ht="15.6">
      <c r="A7" s="2"/>
      <c r="B7" s="2"/>
      <c r="C7" s="2"/>
      <c r="D7" s="2"/>
      <c r="E7" s="2"/>
      <c r="F7" s="2"/>
      <c r="G7" s="2"/>
      <c r="I7" s="1014" t="s">
        <v>721</v>
      </c>
      <c r="J7" s="1015"/>
      <c r="K7" s="1015"/>
      <c r="L7" s="1016"/>
    </row>
    <row r="8" spans="1:12" ht="15.6">
      <c r="A8" s="2"/>
      <c r="B8" s="2"/>
      <c r="C8" s="57"/>
      <c r="D8" s="4"/>
      <c r="E8" s="541" t="s">
        <v>146</v>
      </c>
      <c r="F8" s="2"/>
      <c r="G8" s="2"/>
      <c r="I8" s="581"/>
      <c r="J8" s="582" t="s">
        <v>718</v>
      </c>
      <c r="K8" s="582" t="s">
        <v>719</v>
      </c>
      <c r="L8" s="582" t="s">
        <v>720</v>
      </c>
    </row>
    <row r="9" spans="1:12" ht="15.6">
      <c r="A9" s="2"/>
      <c r="B9" s="2" t="s">
        <v>612</v>
      </c>
      <c r="C9" s="559">
        <f>SUMPRODUCT(D4:D6,F4:F6)</f>
        <v>0</v>
      </c>
      <c r="D9" s="57" t="s">
        <v>601</v>
      </c>
      <c r="E9" s="560">
        <v>150000</v>
      </c>
      <c r="F9" s="561" t="s">
        <v>637</v>
      </c>
      <c r="G9" s="2"/>
      <c r="I9" s="582" t="s">
        <v>76</v>
      </c>
      <c r="J9" s="583">
        <f>D4*'Crop Budget (Main)'!C10</f>
        <v>0</v>
      </c>
      <c r="K9" s="584" t="s">
        <v>601</v>
      </c>
      <c r="L9" s="381">
        <v>9000</v>
      </c>
    </row>
    <row r="10" spans="1:12" ht="15.6">
      <c r="A10" s="2"/>
      <c r="B10" s="2" t="s">
        <v>602</v>
      </c>
      <c r="C10" s="562">
        <f>D4</f>
        <v>100</v>
      </c>
      <c r="D10" s="57" t="s">
        <v>603</v>
      </c>
      <c r="E10" s="381">
        <v>50</v>
      </c>
      <c r="F10" s="561" t="s">
        <v>638</v>
      </c>
      <c r="G10" s="2"/>
      <c r="I10" s="582" t="s">
        <v>130</v>
      </c>
      <c r="J10" s="583">
        <f>D5*'Crop Budget (Main)'!G10</f>
        <v>0</v>
      </c>
      <c r="K10" s="584" t="s">
        <v>601</v>
      </c>
      <c r="L10" s="381">
        <v>10000</v>
      </c>
    </row>
    <row r="11" spans="1:12" ht="15.6">
      <c r="A11" s="2"/>
      <c r="B11" s="2" t="s">
        <v>604</v>
      </c>
      <c r="C11" s="562">
        <f>D5</f>
        <v>100</v>
      </c>
      <c r="D11" s="57" t="s">
        <v>603</v>
      </c>
      <c r="E11" s="381">
        <v>100</v>
      </c>
      <c r="F11" s="561" t="s">
        <v>639</v>
      </c>
      <c r="G11" s="2"/>
      <c r="I11" s="582" t="s">
        <v>131</v>
      </c>
      <c r="J11" s="583">
        <f>D6*'Crop Budget (Main)'!K10</f>
        <v>0</v>
      </c>
      <c r="K11" s="584" t="s">
        <v>601</v>
      </c>
      <c r="L11" s="381">
        <v>9000</v>
      </c>
    </row>
    <row r="12" spans="1:12" ht="15.6">
      <c r="A12" s="2"/>
      <c r="B12" s="2" t="s">
        <v>605</v>
      </c>
      <c r="C12" s="562">
        <f>D6</f>
        <v>100</v>
      </c>
      <c r="D12" s="57" t="s">
        <v>603</v>
      </c>
      <c r="E12" s="381">
        <v>50</v>
      </c>
      <c r="F12" s="561" t="s">
        <v>640</v>
      </c>
      <c r="G12" s="2"/>
      <c r="J12" s="580"/>
      <c r="K12" s="580"/>
      <c r="L12" s="580"/>
    </row>
    <row r="13" spans="1:12" ht="16.2" thickBot="1">
      <c r="A13" s="2"/>
      <c r="B13" s="563" t="s">
        <v>122</v>
      </c>
      <c r="C13" s="564">
        <f>SUM(D4:D6)</f>
        <v>300</v>
      </c>
      <c r="D13" s="565" t="s">
        <v>275</v>
      </c>
      <c r="E13" s="566">
        <v>300</v>
      </c>
      <c r="F13" s="567" t="s">
        <v>641</v>
      </c>
      <c r="G13" s="563"/>
    </row>
    <row r="14" spans="1:12" ht="16.2" thickTop="1">
      <c r="A14" s="2"/>
      <c r="B14" s="2"/>
      <c r="C14" s="2"/>
      <c r="D14" s="2"/>
      <c r="E14" s="2"/>
      <c r="F14" s="2"/>
      <c r="G14" s="2"/>
    </row>
    <row r="15" spans="1:12" ht="15.6">
      <c r="A15" s="2"/>
      <c r="B15" s="2" t="s">
        <v>714</v>
      </c>
      <c r="C15" s="568">
        <f>SUMPRODUCT(D4:D6,G4:G6)</f>
        <v>0</v>
      </c>
      <c r="D15" s="569" t="s">
        <v>642</v>
      </c>
      <c r="E15" s="2"/>
      <c r="F15" s="2"/>
      <c r="G15" s="2"/>
    </row>
    <row r="16" spans="1:12" ht="15.6">
      <c r="A16" s="2"/>
      <c r="B16" s="2"/>
      <c r="C16" s="2"/>
      <c r="D16" s="2"/>
      <c r="E16" s="2"/>
      <c r="F16" s="2"/>
      <c r="G16" s="2"/>
    </row>
    <row r="17" spans="1:12" ht="15.6">
      <c r="A17" s="2"/>
      <c r="B17" s="2"/>
      <c r="C17" s="2"/>
      <c r="D17" s="2"/>
      <c r="E17" s="2"/>
      <c r="F17" s="2"/>
      <c r="G17" s="2"/>
    </row>
    <row r="18" spans="1:12" ht="15.6">
      <c r="A18" s="2"/>
      <c r="B18" s="2"/>
      <c r="C18" s="2"/>
      <c r="D18" s="2"/>
      <c r="E18" s="2"/>
      <c r="F18" s="2"/>
      <c r="G18" s="2"/>
    </row>
    <row r="19" spans="1:12" ht="15.6">
      <c r="A19" s="2"/>
      <c r="B19" s="2"/>
      <c r="C19" s="2"/>
      <c r="D19" s="2"/>
      <c r="E19" s="2"/>
      <c r="F19" s="2"/>
      <c r="G19" s="2"/>
    </row>
    <row r="20" spans="1:12" ht="15.6">
      <c r="A20" s="2"/>
      <c r="B20" s="546" t="s">
        <v>611</v>
      </c>
      <c r="C20" s="2"/>
      <c r="D20" s="2"/>
      <c r="E20" s="2"/>
      <c r="F20" s="2"/>
      <c r="G20" s="2"/>
      <c r="I20" s="1018" t="s">
        <v>722</v>
      </c>
      <c r="J20" s="1018"/>
      <c r="K20" s="1018"/>
      <c r="L20" s="1018"/>
    </row>
    <row r="21" spans="1:12" ht="15.6">
      <c r="A21" s="2"/>
      <c r="B21" s="990" t="s">
        <v>728</v>
      </c>
      <c r="C21" s="990"/>
      <c r="D21" s="990"/>
      <c r="E21" s="990"/>
      <c r="F21" s="990"/>
      <c r="G21" s="2"/>
      <c r="I21" s="1017" t="s">
        <v>723</v>
      </c>
      <c r="J21" s="1017"/>
      <c r="K21" s="1017"/>
      <c r="L21" s="1017"/>
    </row>
    <row r="22" spans="1:12" ht="15.6">
      <c r="A22" s="2"/>
      <c r="B22" s="990"/>
      <c r="C22" s="990"/>
      <c r="D22" s="990"/>
      <c r="E22" s="990"/>
      <c r="F22" s="990"/>
      <c r="G22" s="2"/>
      <c r="I22" s="1017"/>
      <c r="J22" s="1017"/>
      <c r="K22" s="1017"/>
      <c r="L22" s="1017"/>
    </row>
    <row r="23" spans="1:12" ht="15.6">
      <c r="A23" s="2"/>
      <c r="B23" s="2" t="s">
        <v>716</v>
      </c>
      <c r="C23" s="2"/>
      <c r="D23" s="2"/>
      <c r="E23" s="2"/>
      <c r="F23" s="2"/>
      <c r="G23" s="2"/>
      <c r="I23" s="1017" t="s">
        <v>724</v>
      </c>
      <c r="J23" s="1017"/>
      <c r="K23" s="1017"/>
      <c r="L23" s="1017"/>
    </row>
    <row r="24" spans="1:12" ht="15.6">
      <c r="A24" s="2"/>
      <c r="B24" s="2" t="s">
        <v>613</v>
      </c>
      <c r="C24" s="2"/>
      <c r="D24" s="2"/>
      <c r="E24" s="2"/>
      <c r="F24" s="2"/>
      <c r="G24" s="2"/>
      <c r="I24" s="1017"/>
      <c r="J24" s="1017"/>
      <c r="K24" s="1017"/>
      <c r="L24" s="1017"/>
    </row>
    <row r="25" spans="1:12" ht="15.6">
      <c r="A25" s="2"/>
      <c r="B25" s="2" t="s">
        <v>614</v>
      </c>
      <c r="C25" s="2"/>
      <c r="D25" s="2"/>
      <c r="E25" s="2"/>
      <c r="F25" s="2"/>
      <c r="G25" s="2"/>
      <c r="I25" t="s">
        <v>725</v>
      </c>
    </row>
    <row r="26" spans="1:12" ht="15.6">
      <c r="A26" s="2"/>
      <c r="B26" s="990" t="s">
        <v>717</v>
      </c>
      <c r="C26" s="990"/>
      <c r="D26" s="990"/>
      <c r="E26" s="990"/>
      <c r="F26" s="990"/>
      <c r="G26" s="2"/>
      <c r="I26" t="s">
        <v>726</v>
      </c>
    </row>
    <row r="27" spans="1:12" ht="15.6">
      <c r="A27" s="2"/>
      <c r="B27" s="990"/>
      <c r="C27" s="990"/>
      <c r="D27" s="990"/>
      <c r="E27" s="990"/>
      <c r="F27" s="990"/>
      <c r="G27" s="2"/>
    </row>
    <row r="58" spans="2:13">
      <c r="I58" s="990" t="s">
        <v>727</v>
      </c>
      <c r="J58" s="990"/>
      <c r="K58" s="990"/>
      <c r="L58" s="990"/>
      <c r="M58" s="990"/>
    </row>
    <row r="59" spans="2:13">
      <c r="B59" s="990" t="s">
        <v>715</v>
      </c>
      <c r="C59" s="990"/>
      <c r="D59" s="990"/>
      <c r="E59" s="990"/>
      <c r="F59" s="990"/>
      <c r="I59" s="990"/>
      <c r="J59" s="990"/>
      <c r="K59" s="990"/>
      <c r="L59" s="990"/>
      <c r="M59" s="990"/>
    </row>
    <row r="60" spans="2:13">
      <c r="B60" s="990"/>
      <c r="C60" s="990"/>
      <c r="D60" s="990"/>
      <c r="E60" s="990"/>
      <c r="F60" s="990"/>
    </row>
  </sheetData>
  <mergeCells count="9">
    <mergeCell ref="B21:F22"/>
    <mergeCell ref="B26:F27"/>
    <mergeCell ref="B59:F60"/>
    <mergeCell ref="A1:G1"/>
    <mergeCell ref="I7:L7"/>
    <mergeCell ref="I21:L22"/>
    <mergeCell ref="I23:L24"/>
    <mergeCell ref="I58:M59"/>
    <mergeCell ref="I20:L20"/>
  </mergeCells>
  <pageMargins left="0.7" right="0.7" top="0.75" bottom="0.75" header="0.3" footer="0.3"/>
  <pageSetup scale="6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177DF-8E92-44DD-979E-1A52B9F4FC73}">
  <sheetPr>
    <pageSetUpPr fitToPage="1"/>
  </sheetPr>
  <dimension ref="A1:N90"/>
  <sheetViews>
    <sheetView topLeftCell="G1" zoomScaleNormal="100" workbookViewId="0">
      <selection activeCell="F1" sqref="A1:F1048576"/>
    </sheetView>
  </sheetViews>
  <sheetFormatPr defaultRowHeight="14.4"/>
  <cols>
    <col min="1" max="1" width="9.109375" hidden="1" customWidth="1"/>
    <col min="2" max="2" width="41.33203125" hidden="1" customWidth="1"/>
    <col min="3" max="3" width="17.44140625" hidden="1" customWidth="1"/>
    <col min="4" max="4" width="12" hidden="1" customWidth="1"/>
    <col min="5" max="6" width="9.109375" hidden="1" customWidth="1"/>
    <col min="8" max="8" width="42.33203125" bestFit="1" customWidth="1"/>
    <col min="9" max="9" width="19.44140625" bestFit="1" customWidth="1"/>
    <col min="10" max="10" width="13.6640625" bestFit="1" customWidth="1"/>
    <col min="11" max="11" width="12.109375" customWidth="1"/>
    <col min="12" max="12" width="32.109375" bestFit="1" customWidth="1"/>
    <col min="13" max="13" width="19.44140625" bestFit="1" customWidth="1"/>
    <col min="14" max="14" width="13.6640625" bestFit="1" customWidth="1"/>
  </cols>
  <sheetData>
    <row r="1" spans="2:14" ht="21">
      <c r="B1" s="1020" t="s">
        <v>1026</v>
      </c>
      <c r="C1" s="1021"/>
      <c r="D1" s="1021"/>
      <c r="H1" s="1019" t="s">
        <v>1030</v>
      </c>
      <c r="I1" s="909"/>
      <c r="J1" s="909"/>
      <c r="K1" s="909"/>
      <c r="L1" s="909"/>
      <c r="M1" s="909"/>
      <c r="N1" s="909"/>
    </row>
    <row r="2" spans="2:14" ht="15.6">
      <c r="F2" s="4" t="s">
        <v>122</v>
      </c>
      <c r="H2" s="2"/>
      <c r="I2" s="2"/>
      <c r="J2" s="2"/>
      <c r="K2" s="2"/>
      <c r="L2" s="2"/>
      <c r="M2" s="2"/>
      <c r="N2" s="2"/>
    </row>
    <row r="3" spans="2:14" ht="15.6">
      <c r="B3" s="799" t="s">
        <v>1027</v>
      </c>
      <c r="C3" s="799" t="s">
        <v>1024</v>
      </c>
      <c r="D3" s="799" t="s">
        <v>1025</v>
      </c>
      <c r="F3" s="4">
        <f>'Crop Budget (Main)'!C11</f>
        <v>1</v>
      </c>
      <c r="H3" s="132" t="s">
        <v>1</v>
      </c>
      <c r="I3" s="132" t="s">
        <v>1024</v>
      </c>
      <c r="J3" s="132" t="s">
        <v>1025</v>
      </c>
      <c r="K3" s="132"/>
      <c r="L3" s="132" t="s">
        <v>32</v>
      </c>
      <c r="M3" s="132" t="s">
        <v>1024</v>
      </c>
      <c r="N3" s="132" t="s">
        <v>1025</v>
      </c>
    </row>
    <row r="4" spans="2:14" ht="15.6">
      <c r="B4" s="798" t="str">
        <f>'Fertilizer Plan'!A6</f>
        <v>None</v>
      </c>
      <c r="C4" s="79">
        <f>('Fertilizer Plan'!E6*VLOOKUP(B4,Macronutrients,14,FALSE))/VLOOKUP(B4,Macronutrients,16,FALSE)*$F$3</f>
        <v>0</v>
      </c>
      <c r="D4" s="4" t="str">
        <f t="shared" ref="D4:D21" si="0">VLOOKUP(B4,Macronutrients,17,FALSE)</f>
        <v>None</v>
      </c>
      <c r="H4" s="800" t="str" cm="1">
        <f t="array" ref="H4:I4">_xlfn._xlws.SORT(_xlfn.LET(_xlpm.a,B4:B21,_xlpm.b,C4:C21,_xlfn.HSTACK(_xlfn.UNIQUE(_xlpm.a),SUMIFS(_xlpm.b,_xlpm.a,_xlfn.UNIQUE(_xlpm.a)))))</f>
        <v>None</v>
      </c>
      <c r="I4" s="801">
        <v>0</v>
      </c>
      <c r="J4" s="57" t="str">
        <f t="shared" ref="J4:J21" si="1">IFERROR(VLOOKUP(H4,Macronutrients,17,FALSE),"")</f>
        <v>None</v>
      </c>
      <c r="K4" s="57"/>
      <c r="L4" s="800" t="str" cm="1">
        <f t="array" ref="L4:M4">_xlfn.LET(_xlpm.a,B40,_xlpm.b,C40,_xlfn.HSTACK(_xlfn.UNIQUE(_xlpm.a),SUMIFS(_xlpm.b,_xlpm.a,_xlfn.UNIQUE(_xlpm.a))))</f>
        <v>None</v>
      </c>
      <c r="M4" s="57">
        <v>0</v>
      </c>
      <c r="N4" s="57" t="str">
        <f>IFERROR(VLOOKUP(L4,Lime,17,FALSE),"")</f>
        <v>None</v>
      </c>
    </row>
    <row r="5" spans="2:14" ht="15.6">
      <c r="B5" s="798" t="str">
        <f>'Fertilizer Plan'!A7</f>
        <v>None</v>
      </c>
      <c r="C5" s="79">
        <f>('Fertilizer Plan'!E7*VLOOKUP(B5,Macronutrients,14,FALSE))/VLOOKUP(B5,Macronutrients,16,FALSE)*$F$3</f>
        <v>0</v>
      </c>
      <c r="D5" s="4" t="str">
        <f t="shared" si="0"/>
        <v>None</v>
      </c>
      <c r="H5" s="2"/>
      <c r="I5" s="801"/>
      <c r="J5" s="57" t="str">
        <f t="shared" si="1"/>
        <v/>
      </c>
      <c r="K5" s="57"/>
      <c r="L5" s="2"/>
      <c r="M5" s="2"/>
      <c r="N5" s="2"/>
    </row>
    <row r="6" spans="2:14" ht="15.6">
      <c r="B6" s="798" t="str">
        <f>'Fertilizer Plan'!A8</f>
        <v>None</v>
      </c>
      <c r="C6" s="79">
        <f>('Fertilizer Plan'!E8*VLOOKUP(B6,Macronutrients,14,FALSE))/VLOOKUP(B6,Macronutrients,16,FALSE)*$F$3</f>
        <v>0</v>
      </c>
      <c r="D6" s="4" t="str">
        <f t="shared" si="0"/>
        <v>None</v>
      </c>
      <c r="H6" s="2"/>
      <c r="I6" s="801"/>
      <c r="J6" s="57" t="str">
        <f t="shared" si="1"/>
        <v/>
      </c>
      <c r="K6" s="57"/>
      <c r="L6" s="132" t="s">
        <v>27</v>
      </c>
      <c r="M6" s="132" t="s">
        <v>1024</v>
      </c>
      <c r="N6" s="132" t="s">
        <v>1025</v>
      </c>
    </row>
    <row r="7" spans="2:14" ht="15.6">
      <c r="B7" s="798" t="str">
        <f>'Fertilizer Plan'!A9</f>
        <v>None</v>
      </c>
      <c r="C7" s="79">
        <f>('Fertilizer Plan'!E9*VLOOKUP(B7,Macronutrients,14,FALSE))/VLOOKUP(B7,Macronutrients,16,FALSE)*$F$3</f>
        <v>0</v>
      </c>
      <c r="D7" s="4" t="str">
        <f t="shared" si="0"/>
        <v>None</v>
      </c>
      <c r="H7" s="2"/>
      <c r="I7" s="801"/>
      <c r="J7" s="57" t="str">
        <f t="shared" si="1"/>
        <v/>
      </c>
      <c r="K7" s="57"/>
      <c r="L7" s="800" t="str" cm="1">
        <f t="array" ref="L7:M7">_xlfn._xlws.SORT(_xlfn.LET(_xlpm.a,B26:B37,_xlpm.b,C26:C37,_xlfn.HSTACK(_xlfn.UNIQUE(_xlpm.a),SUMIFS(_xlpm.b,_xlpm.a,_xlfn.UNIQUE(_xlpm.a)))))</f>
        <v>None</v>
      </c>
      <c r="M7" s="57">
        <v>0</v>
      </c>
      <c r="N7" s="57" t="str">
        <f t="shared" ref="N7:N18" si="2">IFERROR(VLOOKUP(L7,Micronutrients,17,FALSE),"")</f>
        <v>None</v>
      </c>
    </row>
    <row r="8" spans="2:14" ht="15.6">
      <c r="B8" s="798" t="str">
        <f>'Fertilizer Plan'!A10</f>
        <v>None</v>
      </c>
      <c r="C8" s="79">
        <f>('Fertilizer Plan'!E10*VLOOKUP(B8,Macronutrients,14,FALSE))/VLOOKUP(B8,Macronutrients,16,FALSE)*$F$3</f>
        <v>0</v>
      </c>
      <c r="D8" s="4" t="str">
        <f t="shared" si="0"/>
        <v>None</v>
      </c>
      <c r="H8" s="2"/>
      <c r="I8" s="801"/>
      <c r="J8" s="57" t="str">
        <f t="shared" si="1"/>
        <v/>
      </c>
      <c r="K8" s="57"/>
      <c r="L8" s="2"/>
      <c r="M8" s="57"/>
      <c r="N8" s="57" t="str">
        <f t="shared" si="2"/>
        <v/>
      </c>
    </row>
    <row r="9" spans="2:14" ht="15.6">
      <c r="B9" s="798" t="str">
        <f>'Fertilizer Plan'!A11</f>
        <v>None</v>
      </c>
      <c r="C9" s="79">
        <f>('Fertilizer Plan'!E11*VLOOKUP(B9,Macronutrients,14,FALSE))/VLOOKUP(B9,Macronutrients,16,FALSE)*$F$3</f>
        <v>0</v>
      </c>
      <c r="D9" s="4" t="str">
        <f t="shared" si="0"/>
        <v>None</v>
      </c>
      <c r="H9" s="2"/>
      <c r="I9" s="801"/>
      <c r="J9" s="57" t="str">
        <f t="shared" si="1"/>
        <v/>
      </c>
      <c r="K9" s="57"/>
      <c r="L9" s="2"/>
      <c r="M9" s="57"/>
      <c r="N9" s="57" t="str">
        <f t="shared" si="2"/>
        <v/>
      </c>
    </row>
    <row r="10" spans="2:14" ht="15.6">
      <c r="B10" s="798" t="str">
        <f>'Fertilizer Plan'!A31</f>
        <v>None</v>
      </c>
      <c r="C10" s="79">
        <f>('Fertilizer Plan'!E31*VLOOKUP(B10,Macronutrients,14,FALSE))/VLOOKUP(B10,Macronutrients,16,FALSE)*$F$3</f>
        <v>0</v>
      </c>
      <c r="D10" s="4" t="str">
        <f t="shared" si="0"/>
        <v>None</v>
      </c>
      <c r="H10" s="2"/>
      <c r="I10" s="801"/>
      <c r="J10" s="57" t="str">
        <f t="shared" si="1"/>
        <v/>
      </c>
      <c r="K10" s="57"/>
      <c r="L10" s="2"/>
      <c r="M10" s="57"/>
      <c r="N10" s="57" t="str">
        <f t="shared" si="2"/>
        <v/>
      </c>
    </row>
    <row r="11" spans="2:14" ht="15.6">
      <c r="B11" s="798" t="str">
        <f>'Fertilizer Plan'!A32</f>
        <v>None</v>
      </c>
      <c r="C11" s="79">
        <f>('Fertilizer Plan'!E32*VLOOKUP(B11,Macronutrients,14,FALSE))/VLOOKUP(B11,Macronutrients,16,FALSE)*$F$3</f>
        <v>0</v>
      </c>
      <c r="D11" s="4" t="str">
        <f t="shared" si="0"/>
        <v>None</v>
      </c>
      <c r="H11" s="2"/>
      <c r="I11" s="801"/>
      <c r="J11" s="57" t="str">
        <f t="shared" si="1"/>
        <v/>
      </c>
      <c r="K11" s="57"/>
      <c r="L11" s="2"/>
      <c r="M11" s="57"/>
      <c r="N11" s="57" t="str">
        <f t="shared" si="2"/>
        <v/>
      </c>
    </row>
    <row r="12" spans="2:14" ht="15.6">
      <c r="B12" s="798" t="str">
        <f>'Fertilizer Plan'!A33</f>
        <v>None</v>
      </c>
      <c r="C12" s="79">
        <f>('Fertilizer Plan'!E33*VLOOKUP(B12,Macronutrients,14,FALSE))/VLOOKUP(B12,Macronutrients,16,FALSE)*$F$3</f>
        <v>0</v>
      </c>
      <c r="D12" s="4" t="str">
        <f t="shared" si="0"/>
        <v>None</v>
      </c>
      <c r="H12" s="2"/>
      <c r="I12" s="801"/>
      <c r="J12" s="57" t="str">
        <f t="shared" si="1"/>
        <v/>
      </c>
      <c r="K12" s="57"/>
      <c r="L12" s="2"/>
      <c r="M12" s="57"/>
      <c r="N12" s="57" t="str">
        <f t="shared" si="2"/>
        <v/>
      </c>
    </row>
    <row r="13" spans="2:14" ht="15.6">
      <c r="B13" s="798" t="str">
        <f>'Fertilizer Plan'!A34</f>
        <v>None</v>
      </c>
      <c r="C13" s="79">
        <f>('Fertilizer Plan'!E34*VLOOKUP(B13,Macronutrients,14,FALSE))/VLOOKUP(B13,Macronutrients,16,FALSE)*$F$3</f>
        <v>0</v>
      </c>
      <c r="D13" s="4" t="str">
        <f t="shared" si="0"/>
        <v>None</v>
      </c>
      <c r="H13" s="2"/>
      <c r="I13" s="801"/>
      <c r="J13" s="57" t="str">
        <f t="shared" si="1"/>
        <v/>
      </c>
      <c r="K13" s="57"/>
      <c r="L13" s="2"/>
      <c r="M13" s="57"/>
      <c r="N13" s="57" t="str">
        <f t="shared" si="2"/>
        <v/>
      </c>
    </row>
    <row r="14" spans="2:14" ht="15.6">
      <c r="B14" s="798" t="str">
        <f>'Fertilizer Plan'!A35</f>
        <v>None</v>
      </c>
      <c r="C14" s="79">
        <f>('Fertilizer Plan'!E35*VLOOKUP(B14,Macronutrients,14,FALSE))/VLOOKUP(B14,Macronutrients,16,FALSE)*$F$3</f>
        <v>0</v>
      </c>
      <c r="D14" s="4" t="str">
        <f t="shared" si="0"/>
        <v>None</v>
      </c>
      <c r="H14" s="2"/>
      <c r="I14" s="801"/>
      <c r="J14" s="57" t="str">
        <f t="shared" si="1"/>
        <v/>
      </c>
      <c r="K14" s="57"/>
      <c r="L14" s="2"/>
      <c r="M14" s="57"/>
      <c r="N14" s="57" t="str">
        <f t="shared" si="2"/>
        <v/>
      </c>
    </row>
    <row r="15" spans="2:14" ht="15.6">
      <c r="B15" s="798" t="str">
        <f>'Fertilizer Plan'!A36</f>
        <v>None</v>
      </c>
      <c r="C15" s="79">
        <f>('Fertilizer Plan'!E36*VLOOKUP(B15,Macronutrients,14,FALSE))/VLOOKUP(B15,Macronutrients,16,FALSE)*$F$3</f>
        <v>0</v>
      </c>
      <c r="D15" s="4" t="str">
        <f t="shared" si="0"/>
        <v>None</v>
      </c>
      <c r="H15" s="2"/>
      <c r="I15" s="801"/>
      <c r="J15" s="57" t="str">
        <f t="shared" si="1"/>
        <v/>
      </c>
      <c r="K15" s="57"/>
      <c r="L15" s="2"/>
      <c r="M15" s="57"/>
      <c r="N15" s="57" t="str">
        <f t="shared" si="2"/>
        <v/>
      </c>
    </row>
    <row r="16" spans="2:14" ht="15.6">
      <c r="B16" s="798" t="str">
        <f>'Fertilizer Plan'!A53</f>
        <v>None</v>
      </c>
      <c r="C16" s="79">
        <f>('Fertilizer Plan'!E53*VLOOKUP(B16,Macronutrients,14,FALSE))/VLOOKUP(B16,Macronutrients,16,FALSE)*$F$3</f>
        <v>0</v>
      </c>
      <c r="D16" s="4" t="str">
        <f t="shared" si="0"/>
        <v>None</v>
      </c>
      <c r="H16" s="2"/>
      <c r="I16" s="801"/>
      <c r="J16" s="57" t="str">
        <f t="shared" si="1"/>
        <v/>
      </c>
      <c r="K16" s="57"/>
      <c r="L16" s="2"/>
      <c r="M16" s="57"/>
      <c r="N16" s="57" t="str">
        <f t="shared" si="2"/>
        <v/>
      </c>
    </row>
    <row r="17" spans="2:14" ht="15.6">
      <c r="B17" s="798" t="str">
        <f>'Fertilizer Plan'!A54</f>
        <v>None</v>
      </c>
      <c r="C17" s="79">
        <f>('Fertilizer Plan'!E54*VLOOKUP(B17,Macronutrients,14,FALSE))/VLOOKUP(B17,Macronutrients,16,FALSE)*$F$3</f>
        <v>0</v>
      </c>
      <c r="D17" s="4" t="str">
        <f t="shared" si="0"/>
        <v>None</v>
      </c>
      <c r="H17" s="2"/>
      <c r="I17" s="801"/>
      <c r="J17" s="57" t="str">
        <f t="shared" si="1"/>
        <v/>
      </c>
      <c r="K17" s="57"/>
      <c r="L17" s="2"/>
      <c r="M17" s="57"/>
      <c r="N17" s="57" t="str">
        <f t="shared" si="2"/>
        <v/>
      </c>
    </row>
    <row r="18" spans="2:14" ht="15.6">
      <c r="B18" s="798" t="str">
        <f>'Fertilizer Plan'!A55</f>
        <v>None</v>
      </c>
      <c r="C18" s="79">
        <f>('Fertilizer Plan'!E55*VLOOKUP(B18,Macronutrients,14,FALSE))/VLOOKUP(B18,Macronutrients,16,FALSE)*$F$3</f>
        <v>0</v>
      </c>
      <c r="D18" s="4" t="str">
        <f t="shared" si="0"/>
        <v>None</v>
      </c>
      <c r="H18" s="2"/>
      <c r="I18" s="801"/>
      <c r="J18" s="57" t="str">
        <f t="shared" si="1"/>
        <v/>
      </c>
      <c r="K18" s="57"/>
      <c r="L18" s="2"/>
      <c r="M18" s="57"/>
      <c r="N18" s="57" t="str">
        <f t="shared" si="2"/>
        <v/>
      </c>
    </row>
    <row r="19" spans="2:14" ht="15.6">
      <c r="B19" s="798" t="str">
        <f>'Fertilizer Plan'!A56</f>
        <v>None</v>
      </c>
      <c r="C19" s="79">
        <f>('Fertilizer Plan'!E56*VLOOKUP(B19,Macronutrients,14,FALSE))/VLOOKUP(B19,Macronutrients,16,FALSE)*$F$3</f>
        <v>0</v>
      </c>
      <c r="D19" s="4" t="str">
        <f t="shared" si="0"/>
        <v>None</v>
      </c>
      <c r="H19" s="2"/>
      <c r="I19" s="801"/>
      <c r="J19" s="57" t="str">
        <f t="shared" si="1"/>
        <v/>
      </c>
      <c r="K19" s="57"/>
      <c r="L19" s="2"/>
      <c r="M19" s="57"/>
      <c r="N19" s="57"/>
    </row>
    <row r="20" spans="2:14" ht="15.6">
      <c r="B20" s="798" t="str">
        <f>'Fertilizer Plan'!A57</f>
        <v>None</v>
      </c>
      <c r="C20" s="79">
        <f>('Fertilizer Plan'!E57*VLOOKUP(B20,Macronutrients,14,FALSE))/VLOOKUP(B20,Macronutrients,16,FALSE)*$F$3</f>
        <v>0</v>
      </c>
      <c r="D20" s="4" t="str">
        <f t="shared" si="0"/>
        <v>None</v>
      </c>
      <c r="H20" s="2"/>
      <c r="I20" s="801"/>
      <c r="J20" s="57" t="str">
        <f t="shared" si="1"/>
        <v/>
      </c>
      <c r="K20" s="57"/>
      <c r="L20" s="2"/>
      <c r="M20" s="57"/>
      <c r="N20" s="57"/>
    </row>
    <row r="21" spans="2:14" ht="15.6">
      <c r="B21" s="798" t="str">
        <f>'Fertilizer Plan'!A58</f>
        <v>None</v>
      </c>
      <c r="C21" s="79">
        <f>('Fertilizer Plan'!E58*VLOOKUP(B21,Macronutrients,14,FALSE))/VLOOKUP(B21,Macronutrients,16,FALSE)*$F$3</f>
        <v>0</v>
      </c>
      <c r="D21" s="4" t="str">
        <f t="shared" si="0"/>
        <v>None</v>
      </c>
      <c r="H21" s="2"/>
      <c r="I21" s="801"/>
      <c r="J21" s="57" t="str">
        <f t="shared" si="1"/>
        <v/>
      </c>
      <c r="K21" s="57"/>
      <c r="L21" s="2"/>
      <c r="M21" s="57"/>
      <c r="N21" s="57"/>
    </row>
    <row r="22" spans="2:14" ht="15.6">
      <c r="B22" s="798"/>
      <c r="C22" s="79"/>
      <c r="D22" s="4"/>
      <c r="H22" s="2"/>
      <c r="I22" s="57"/>
      <c r="J22" s="57"/>
      <c r="K22" s="57"/>
      <c r="L22" s="2"/>
      <c r="M22" s="57"/>
      <c r="N22" s="57"/>
    </row>
    <row r="23" spans="2:14" ht="21">
      <c r="H23" s="1019" t="s">
        <v>1031</v>
      </c>
      <c r="I23" s="909"/>
      <c r="J23" s="909"/>
      <c r="K23" s="909"/>
      <c r="L23" s="909"/>
      <c r="M23" s="909"/>
      <c r="N23" s="909"/>
    </row>
    <row r="24" spans="2:14">
      <c r="M24" s="4"/>
      <c r="N24" s="4"/>
    </row>
    <row r="25" spans="2:14" ht="15.6">
      <c r="B25" s="799" t="s">
        <v>1028</v>
      </c>
      <c r="C25" s="799" t="s">
        <v>1024</v>
      </c>
      <c r="D25" s="799" t="s">
        <v>1025</v>
      </c>
      <c r="H25" s="132" t="s">
        <v>1037</v>
      </c>
      <c r="I25" s="132" t="s">
        <v>1024</v>
      </c>
      <c r="J25" s="132" t="s">
        <v>1025</v>
      </c>
      <c r="K25" s="2"/>
      <c r="L25" s="132" t="s">
        <v>123</v>
      </c>
      <c r="M25" s="132" t="s">
        <v>1024</v>
      </c>
      <c r="N25" s="132" t="s">
        <v>1025</v>
      </c>
    </row>
    <row r="26" spans="2:14" ht="15.6">
      <c r="B26" s="798" t="str">
        <f>'Fertilizer Plan'!A14</f>
        <v>None</v>
      </c>
      <c r="C26" s="79">
        <f>('Fertilizer Plan'!E14*VLOOKUP(B26,Micronutrients,14,FALSE))/VLOOKUP(B26,Micronutrients,16,FALSE)*$F$3</f>
        <v>0</v>
      </c>
      <c r="D26" s="4" t="str">
        <f t="shared" ref="D26:D37" si="3">VLOOKUP(B26,Micronutrients,17,FALSE)</f>
        <v>None</v>
      </c>
      <c r="H26" s="800" t="str" cm="1">
        <f t="array" ref="H26:I26">_xlfn._xlws.SORT(_xlfn.LET(_xlpm.a,B43:B47,_xlpm.b,C43:C47,_xlfn.HSTACK(_xlfn.UNIQUE(_xlpm.a),SUMIFS(_xlpm.b,_xlpm.a,_xlfn.UNIQUE(_xlpm.a)))))</f>
        <v>None</v>
      </c>
      <c r="I26" s="57">
        <v>0</v>
      </c>
      <c r="J26" s="57" t="str">
        <f>IFERROR(VLOOKUP(H26,CornPreChemicals,4,FALSE),"")</f>
        <v>None</v>
      </c>
      <c r="K26" s="2"/>
      <c r="L26" s="800" t="str" cm="1">
        <f t="array" ref="L26:M26">_xlfn._xlws.SORT(_xlfn.LET(_xlpm.a,B57:B61,_xlpm.b,C57:C61,_xlfn.HSTACK(_xlfn.UNIQUE(_xlpm.a),SUMIFS(_xlpm.b,_xlpm.a,_xlfn.UNIQUE(_xlpm.a)))))</f>
        <v>None</v>
      </c>
      <c r="M26" s="57">
        <v>0</v>
      </c>
      <c r="N26" s="57" t="str">
        <f>IFERROR(VLOOKUP(L26,CornFungicides,4,FALSE),"")</f>
        <v>None</v>
      </c>
    </row>
    <row r="27" spans="2:14" ht="15.6">
      <c r="B27" s="798" t="str">
        <f>'Fertilizer Plan'!A15</f>
        <v>None</v>
      </c>
      <c r="C27" s="79">
        <f>('Fertilizer Plan'!E15*VLOOKUP(B27,Micronutrients,14,FALSE))/VLOOKUP(B27,Micronutrients,16,FALSE)*$F$3</f>
        <v>0</v>
      </c>
      <c r="D27" s="4" t="str">
        <f t="shared" si="3"/>
        <v>None</v>
      </c>
      <c r="H27" s="2"/>
      <c r="I27" s="57"/>
      <c r="J27" s="57" t="str">
        <f>IFERROR(VLOOKUP(H27,CornPreChemicals,4,FALSE),"")</f>
        <v/>
      </c>
      <c r="K27" s="2"/>
      <c r="L27" s="2"/>
      <c r="M27" s="57"/>
      <c r="N27" s="57" t="str">
        <f>IFERROR(VLOOKUP(L27,CornFungicides,4,FALSE),"")</f>
        <v/>
      </c>
    </row>
    <row r="28" spans="2:14" ht="15.6">
      <c r="B28" s="798" t="str">
        <f>'Fertilizer Plan'!A16</f>
        <v>None</v>
      </c>
      <c r="C28" s="79">
        <f>('Fertilizer Plan'!E16*VLOOKUP(B28,Micronutrients,14,FALSE))/VLOOKUP(B28,Micronutrients,16,FALSE)*$F$3</f>
        <v>0</v>
      </c>
      <c r="D28" s="4" t="str">
        <f t="shared" si="3"/>
        <v>None</v>
      </c>
      <c r="H28" s="2"/>
      <c r="I28" s="57"/>
      <c r="J28" s="57" t="str">
        <f>IFERROR(VLOOKUP(H28,CornPreChemicals,4,FALSE),"")</f>
        <v/>
      </c>
      <c r="K28" s="2"/>
      <c r="L28" s="2"/>
      <c r="M28" s="57"/>
      <c r="N28" s="57" t="str">
        <f>IFERROR(VLOOKUP(L28,CornFungicides,4,FALSE),"")</f>
        <v/>
      </c>
    </row>
    <row r="29" spans="2:14" ht="15.6">
      <c r="B29" s="798" t="str">
        <f>'Fertilizer Plan'!A17</f>
        <v>None</v>
      </c>
      <c r="C29" s="79">
        <f>('Fertilizer Plan'!E17*VLOOKUP(B29,Micronutrients,14,FALSE))/VLOOKUP(B29,Micronutrients,16,FALSE)*$F$3</f>
        <v>0</v>
      </c>
      <c r="D29" s="4" t="str">
        <f t="shared" si="3"/>
        <v>None</v>
      </c>
      <c r="H29" s="2"/>
      <c r="I29" s="2"/>
      <c r="J29" s="57" t="str">
        <f>IFERROR(VLOOKUP(H29,CornPreChemicals,4,FALSE),"")</f>
        <v/>
      </c>
      <c r="K29" s="2"/>
      <c r="L29" s="2"/>
      <c r="M29" s="57"/>
      <c r="N29" s="57" t="str">
        <f>IFERROR(VLOOKUP(L29,CornFungicides,4,FALSE),"")</f>
        <v/>
      </c>
    </row>
    <row r="30" spans="2:14" ht="15.6">
      <c r="B30" s="798" t="str">
        <f>'Fertilizer Plan'!A39</f>
        <v>None</v>
      </c>
      <c r="C30" s="79">
        <f>('Fertilizer Plan'!E39*VLOOKUP(B30,Micronutrients,14,FALSE))/VLOOKUP(B30,Micronutrients,16,FALSE)*$F$3</f>
        <v>0</v>
      </c>
      <c r="D30" s="4" t="str">
        <f t="shared" si="3"/>
        <v>None</v>
      </c>
      <c r="H30" s="2"/>
      <c r="I30" s="2"/>
      <c r="J30" s="57" t="str">
        <f>IFERROR(VLOOKUP(H30,CornPreChemicals,4,FALSE),"")</f>
        <v/>
      </c>
      <c r="K30" s="2"/>
      <c r="L30" s="2"/>
      <c r="M30" s="57"/>
      <c r="N30" s="57" t="str">
        <f>IFERROR(VLOOKUP(L30,CornFungicides,4,FALSE),"")</f>
        <v/>
      </c>
    </row>
    <row r="31" spans="2:14" ht="15.6">
      <c r="B31" s="798" t="str">
        <f>'Fertilizer Plan'!A40</f>
        <v>None</v>
      </c>
      <c r="C31" s="79">
        <f>('Fertilizer Plan'!E40*VLOOKUP(B31,Micronutrients,14,FALSE))/VLOOKUP(B31,Micronutrients,16,FALSE)*$F$3</f>
        <v>0</v>
      </c>
      <c r="D31" s="4" t="str">
        <f t="shared" si="3"/>
        <v>None</v>
      </c>
      <c r="H31" s="2"/>
      <c r="I31" s="2"/>
      <c r="J31" s="2"/>
      <c r="K31" s="2"/>
      <c r="L31" s="2"/>
      <c r="M31" s="2"/>
      <c r="N31" s="2"/>
    </row>
    <row r="32" spans="2:14" ht="15.6">
      <c r="B32" s="798" t="str">
        <f>'Fertilizer Plan'!A41</f>
        <v>None</v>
      </c>
      <c r="C32" s="79">
        <f>('Fertilizer Plan'!E41*VLOOKUP(B32,Micronutrients,14,FALSE))/VLOOKUP(B32,Micronutrients,16,FALSE)*$F$3</f>
        <v>0</v>
      </c>
      <c r="D32" s="4" t="str">
        <f t="shared" si="3"/>
        <v>None</v>
      </c>
      <c r="H32" s="132" t="s">
        <v>1038</v>
      </c>
      <c r="I32" s="132" t="s">
        <v>1024</v>
      </c>
      <c r="J32" s="132" t="s">
        <v>1025</v>
      </c>
      <c r="K32" s="2"/>
      <c r="L32" s="132" t="s">
        <v>161</v>
      </c>
      <c r="M32" s="132" t="s">
        <v>1024</v>
      </c>
      <c r="N32" s="132" t="s">
        <v>1025</v>
      </c>
    </row>
    <row r="33" spans="2:14" ht="15.6">
      <c r="B33" s="798" t="str">
        <f>'Fertilizer Plan'!A42</f>
        <v>None</v>
      </c>
      <c r="C33" s="79">
        <f>('Fertilizer Plan'!E42*VLOOKUP(B33,Micronutrients,14,FALSE))/VLOOKUP(B33,Micronutrients,16,FALSE)*$F$3</f>
        <v>0</v>
      </c>
      <c r="D33" s="4" t="str">
        <f t="shared" si="3"/>
        <v>None</v>
      </c>
      <c r="H33" s="800" t="str" cm="1">
        <f t="array" ref="H33:I33">_xlfn._xlws.SORT(_xlfn.LET(_xlpm.a,B50:B54,_xlpm.b,C50:C54,_xlfn.HSTACK(_xlfn.UNIQUE(_xlpm.a),SUMIFS(_xlpm.b,_xlpm.a,_xlfn.UNIQUE(_xlpm.a)))))</f>
        <v>None</v>
      </c>
      <c r="I33" s="57">
        <v>0</v>
      </c>
      <c r="J33" s="57" t="str">
        <f>IFERROR(VLOOKUP(H33,CornPreChemicals,4,FALSE),"")</f>
        <v>None</v>
      </c>
      <c r="K33" s="2"/>
      <c r="L33" s="800" t="str" cm="1">
        <f t="array" ref="L33:M33">_xlfn._xlws.SORT(_xlfn.LET(_xlpm.a,B64:B68,_xlpm.b,C64:C68,_xlfn.HSTACK(_xlfn.UNIQUE(_xlpm.a),SUMIFS(_xlpm.b,_xlpm.a,_xlfn.UNIQUE(_xlpm.a)))))</f>
        <v>None</v>
      </c>
      <c r="M33" s="57">
        <v>0</v>
      </c>
      <c r="N33" s="57" t="str">
        <f>IFERROR(VLOOKUP(L33,CornInsecticides,4,FALSE),"")</f>
        <v>None</v>
      </c>
    </row>
    <row r="34" spans="2:14" ht="15.6">
      <c r="B34" s="798" t="str">
        <f>'Fertilizer Plan'!A61</f>
        <v>None</v>
      </c>
      <c r="C34" s="79">
        <f>('Fertilizer Plan'!E61*VLOOKUP(B34,Micronutrients,14,FALSE))/VLOOKUP(B34,Micronutrients,16,FALSE)*$F$3</f>
        <v>0</v>
      </c>
      <c r="D34" s="4" t="str">
        <f t="shared" si="3"/>
        <v>None</v>
      </c>
      <c r="H34" s="2"/>
      <c r="I34" s="57"/>
      <c r="J34" s="2"/>
      <c r="K34" s="2"/>
      <c r="L34" s="2"/>
      <c r="M34" s="57"/>
      <c r="N34" s="57" t="str">
        <f>IFERROR(VLOOKUP(L34,CornInsecticides,4,FALSE),"")</f>
        <v/>
      </c>
    </row>
    <row r="35" spans="2:14" ht="15.6">
      <c r="B35" s="798" t="str">
        <f>'Fertilizer Plan'!A62</f>
        <v>None</v>
      </c>
      <c r="C35" s="79">
        <f>('Fertilizer Plan'!E62*VLOOKUP(B35,Micronutrients,14,FALSE))/VLOOKUP(B35,Micronutrients,16,FALSE)*$F$3</f>
        <v>0</v>
      </c>
      <c r="D35" s="4" t="str">
        <f t="shared" si="3"/>
        <v>None</v>
      </c>
      <c r="H35" s="2"/>
      <c r="I35" s="57"/>
      <c r="J35" s="2"/>
      <c r="K35" s="2"/>
      <c r="L35" s="2"/>
      <c r="M35" s="57"/>
      <c r="N35" s="57" t="str">
        <f>IFERROR(VLOOKUP(L35,CornInsecticides,4,FALSE),"")</f>
        <v/>
      </c>
    </row>
    <row r="36" spans="2:14" ht="15.6">
      <c r="B36" s="798" t="str">
        <f>'Fertilizer Plan'!A63</f>
        <v>None</v>
      </c>
      <c r="C36" s="79">
        <f>('Fertilizer Plan'!E63*VLOOKUP(B36,Micronutrients,14,FALSE))/VLOOKUP(B36,Micronutrients,16,FALSE)*$F$3</f>
        <v>0</v>
      </c>
      <c r="D36" s="4" t="str">
        <f t="shared" si="3"/>
        <v>None</v>
      </c>
      <c r="H36" s="2"/>
      <c r="I36" s="57"/>
      <c r="J36" s="2"/>
      <c r="K36" s="2"/>
      <c r="L36" s="2"/>
      <c r="M36" s="57"/>
      <c r="N36" s="57" t="str">
        <f>IFERROR(VLOOKUP(L36,CornInsecticides,4,FALSE),"")</f>
        <v/>
      </c>
    </row>
    <row r="37" spans="2:14" ht="15.6">
      <c r="B37" s="798" t="str">
        <f>'Fertilizer Plan'!A64</f>
        <v>None</v>
      </c>
      <c r="C37" s="79">
        <f>('Fertilizer Plan'!E64*VLOOKUP(B37,Micronutrients,14,FALSE))/VLOOKUP(B37,Micronutrients,16,FALSE)*$F$3</f>
        <v>0</v>
      </c>
      <c r="D37" s="4" t="str">
        <f t="shared" si="3"/>
        <v>None</v>
      </c>
      <c r="H37" s="2"/>
      <c r="I37" s="57"/>
      <c r="J37" s="2"/>
      <c r="K37" s="2"/>
      <c r="L37" s="2"/>
      <c r="M37" s="57"/>
      <c r="N37" s="57" t="str">
        <f>IFERROR(VLOOKUP(L37,CornInsecticides,4,FALSE),"")</f>
        <v/>
      </c>
    </row>
    <row r="38" spans="2:14" ht="15.6">
      <c r="H38" s="2"/>
      <c r="I38" s="2"/>
      <c r="J38" s="2"/>
      <c r="K38" s="2"/>
      <c r="L38" s="2"/>
      <c r="M38" s="2"/>
      <c r="N38" s="2"/>
    </row>
    <row r="39" spans="2:14" ht="15.6">
      <c r="B39" s="799" t="s">
        <v>1029</v>
      </c>
      <c r="C39" s="799" t="s">
        <v>1024</v>
      </c>
      <c r="D39" s="799" t="s">
        <v>1025</v>
      </c>
      <c r="H39" s="132" t="s">
        <v>150</v>
      </c>
      <c r="I39" s="132" t="s">
        <v>1024</v>
      </c>
      <c r="J39" s="132" t="s">
        <v>1025</v>
      </c>
      <c r="K39" s="2"/>
      <c r="L39" s="2"/>
      <c r="M39" s="2"/>
      <c r="N39" s="2"/>
    </row>
    <row r="40" spans="2:14" ht="15.6">
      <c r="B40" s="798" t="str">
        <f>'Fertilizer Plan'!A20</f>
        <v>None</v>
      </c>
      <c r="C40" s="79">
        <f>('Fertilizer Plan'!E20*VLOOKUP(B40,Lime,14,FALSE))/VLOOKUP(B40,Lime,16,FALSE)*$F$3</f>
        <v>0</v>
      </c>
      <c r="D40" s="4" t="str">
        <f>VLOOKUP(B40,Micronutrients,17,FALSE)</f>
        <v>None</v>
      </c>
      <c r="H40" s="800" t="str" cm="1">
        <f t="array" ref="H40:I40">_xlfn._xlws.SORT(_xlfn.LET(_xlpm.a,B71:B90,_xlpm.b,C71:C90,_xlfn.HSTACK(_xlfn.UNIQUE(_xlpm.a),SUMIFS(_xlpm.b,_xlpm.a,_xlfn.UNIQUE(_xlpm.a)))))</f>
        <v>None</v>
      </c>
      <c r="I40" s="57">
        <v>0</v>
      </c>
      <c r="J40" s="57" t="str">
        <f t="shared" ref="J40:J49" si="4">IFERROR(VLOOKUP(H40,CornAdjuvants,4,FALSE),"")</f>
        <v>None</v>
      </c>
      <c r="K40" s="2"/>
      <c r="L40" s="2"/>
      <c r="M40" s="2"/>
      <c r="N40" s="2"/>
    </row>
    <row r="41" spans="2:14" ht="15.6">
      <c r="H41" s="2"/>
      <c r="I41" s="57"/>
      <c r="J41" s="57" t="str">
        <f t="shared" si="4"/>
        <v/>
      </c>
      <c r="K41" s="2"/>
      <c r="L41" s="2"/>
      <c r="M41" s="2"/>
      <c r="N41" s="2"/>
    </row>
    <row r="42" spans="2:14" ht="15.6">
      <c r="B42" s="799" t="s">
        <v>1032</v>
      </c>
      <c r="C42" s="799" t="s">
        <v>1024</v>
      </c>
      <c r="D42" s="799" t="s">
        <v>1025</v>
      </c>
      <c r="H42" s="2"/>
      <c r="I42" s="57"/>
      <c r="J42" s="57" t="str">
        <f t="shared" si="4"/>
        <v/>
      </c>
      <c r="K42" s="2"/>
      <c r="L42" s="2"/>
      <c r="M42" s="2"/>
      <c r="N42" s="2"/>
    </row>
    <row r="43" spans="2:14" ht="15.6">
      <c r="B43" t="str">
        <f>'Chemical Plan'!A6</f>
        <v>None</v>
      </c>
      <c r="C43" s="3">
        <f>'Chemical Plan'!F6/VLOOKUP(B43,CornPreChemicals,3,FALSE)*$F$3</f>
        <v>0</v>
      </c>
      <c r="D43" s="4" t="str">
        <f>VLOOKUP(B43,CornPreChemicals,4,FALSE)</f>
        <v>None</v>
      </c>
      <c r="H43" s="2"/>
      <c r="I43" s="57"/>
      <c r="J43" s="57" t="str">
        <f t="shared" si="4"/>
        <v/>
      </c>
      <c r="K43" s="2"/>
      <c r="L43" s="2"/>
      <c r="M43" s="2"/>
      <c r="N43" s="2"/>
    </row>
    <row r="44" spans="2:14" ht="15.6">
      <c r="B44" t="str">
        <f>'Chemical Plan'!A7</f>
        <v>None</v>
      </c>
      <c r="C44" s="3">
        <f>'Chemical Plan'!F7/VLOOKUP(B44,CornPreChemicals,3,FALSE)*$F$3</f>
        <v>0</v>
      </c>
      <c r="D44" s="4" t="str">
        <f>VLOOKUP(B44,CornPreChemicals,4,FALSE)</f>
        <v>None</v>
      </c>
      <c r="H44" s="2"/>
      <c r="I44" s="57"/>
      <c r="J44" s="57" t="str">
        <f t="shared" si="4"/>
        <v/>
      </c>
      <c r="K44" s="2"/>
      <c r="L44" s="2"/>
      <c r="M44" s="2"/>
      <c r="N44" s="2"/>
    </row>
    <row r="45" spans="2:14" ht="15.6">
      <c r="B45" t="str">
        <f>'Chemical Plan'!A8</f>
        <v>None</v>
      </c>
      <c r="C45" s="3">
        <f>'Chemical Plan'!F8/VLOOKUP(B45,CornPreChemicals,3,FALSE)*$F$3</f>
        <v>0</v>
      </c>
      <c r="D45" s="4" t="str">
        <f>VLOOKUP(B45,CornPreChemicals,4,FALSE)</f>
        <v>None</v>
      </c>
      <c r="H45" s="2"/>
      <c r="I45" s="57"/>
      <c r="J45" s="57" t="str">
        <f t="shared" si="4"/>
        <v/>
      </c>
      <c r="K45" s="2"/>
      <c r="L45" s="2"/>
      <c r="M45" s="2"/>
      <c r="N45" s="2"/>
    </row>
    <row r="46" spans="2:14" ht="15.6">
      <c r="B46" t="str">
        <f>'Chemical Plan'!A10</f>
        <v>None</v>
      </c>
      <c r="C46" s="3">
        <f>'Chemical Plan'!F10/VLOOKUP(B46,CornPreChemicals,3,FALSE)*$F$3</f>
        <v>0</v>
      </c>
      <c r="D46" s="4" t="str">
        <f>VLOOKUP(B46,CornPreChemicals,4,FALSE)</f>
        <v>None</v>
      </c>
      <c r="H46" s="2"/>
      <c r="I46" s="57"/>
      <c r="J46" s="57" t="str">
        <f t="shared" si="4"/>
        <v/>
      </c>
      <c r="K46" s="2"/>
      <c r="L46" s="2"/>
      <c r="M46" s="2"/>
      <c r="N46" s="2"/>
    </row>
    <row r="47" spans="2:14" ht="15.6">
      <c r="B47" t="str">
        <f>'Chemical Plan'!A11</f>
        <v>None</v>
      </c>
      <c r="C47" s="3">
        <f>'Chemical Plan'!F11/VLOOKUP(B47,CornPreChemicals,3,FALSE)*$F$3</f>
        <v>0</v>
      </c>
      <c r="D47" s="4" t="str">
        <f>VLOOKUP(B47,CornPreChemicals,4,FALSE)</f>
        <v>None</v>
      </c>
      <c r="H47" s="2"/>
      <c r="I47" s="57"/>
      <c r="J47" s="57" t="str">
        <f t="shared" si="4"/>
        <v/>
      </c>
      <c r="K47" s="2"/>
      <c r="L47" s="2"/>
      <c r="M47" s="2"/>
      <c r="N47" s="2"/>
    </row>
    <row r="48" spans="2:14" ht="15.6">
      <c r="H48" s="2"/>
      <c r="I48" s="57"/>
      <c r="J48" s="57" t="str">
        <f t="shared" si="4"/>
        <v/>
      </c>
      <c r="K48" s="2"/>
      <c r="L48" s="2"/>
      <c r="M48" s="2"/>
      <c r="N48" s="2"/>
    </row>
    <row r="49" spans="2:10">
      <c r="B49" s="799" t="s">
        <v>1033</v>
      </c>
      <c r="C49" s="799" t="s">
        <v>1024</v>
      </c>
      <c r="D49" s="799" t="s">
        <v>1025</v>
      </c>
      <c r="I49" s="4"/>
      <c r="J49" s="4" t="str">
        <f t="shared" si="4"/>
        <v/>
      </c>
    </row>
    <row r="50" spans="2:10">
      <c r="B50" t="str">
        <f>'Chemical Plan'!A26</f>
        <v>None</v>
      </c>
      <c r="C50" s="3">
        <f>'Chemical Plan'!F26/VLOOKUP(B50,CornPostChemicals,3,FALSE)*$F$3</f>
        <v>0</v>
      </c>
      <c r="D50" s="4" t="str">
        <f>VLOOKUP(B50,CornPostChemicals,4,FALSE)</f>
        <v>None</v>
      </c>
    </row>
    <row r="51" spans="2:10">
      <c r="B51" t="str">
        <f>'Chemical Plan'!A27</f>
        <v>None</v>
      </c>
      <c r="C51" s="3">
        <f>'Chemical Plan'!F27/VLOOKUP(B51,CornPostChemicals,3,FALSE)*$F$3</f>
        <v>0</v>
      </c>
      <c r="D51" s="4" t="str">
        <f>VLOOKUP(B51,CornPostChemicals,4,FALSE)</f>
        <v>None</v>
      </c>
    </row>
    <row r="52" spans="2:10">
      <c r="B52" t="str">
        <f>'Chemical Plan'!A28</f>
        <v>None</v>
      </c>
      <c r="C52" s="3">
        <f>'Chemical Plan'!F28/VLOOKUP(B52,CornPostChemicals,3,FALSE)*$F$3</f>
        <v>0</v>
      </c>
      <c r="D52" s="4" t="str">
        <f>VLOOKUP(B52,CornPostChemicals,4,FALSE)</f>
        <v>None</v>
      </c>
    </row>
    <row r="53" spans="2:10">
      <c r="B53" t="str">
        <f>'Chemical Plan'!A30</f>
        <v>None</v>
      </c>
      <c r="C53" s="3">
        <f>'Chemical Plan'!F30/VLOOKUP(B53,CornPostChemicals,3,FALSE)*$F$3</f>
        <v>0</v>
      </c>
      <c r="D53" s="4" t="str">
        <f>VLOOKUP(B53,CornPostChemicals,4,FALSE)</f>
        <v>None</v>
      </c>
    </row>
    <row r="54" spans="2:10">
      <c r="B54" t="str">
        <f>'Chemical Plan'!A31</f>
        <v>None</v>
      </c>
      <c r="C54" s="3">
        <f>'Chemical Plan'!F31/VLOOKUP(B54,CornPostChemicals,3,FALSE)*$F$3</f>
        <v>0</v>
      </c>
      <c r="D54" s="4" t="str">
        <f>VLOOKUP(B54,CornPostChemicals,4,FALSE)</f>
        <v>None</v>
      </c>
    </row>
    <row r="56" spans="2:10">
      <c r="B56" s="799" t="s">
        <v>1034</v>
      </c>
      <c r="C56" s="799" t="s">
        <v>1024</v>
      </c>
      <c r="D56" s="799" t="s">
        <v>1025</v>
      </c>
    </row>
    <row r="57" spans="2:10">
      <c r="B57" t="str">
        <f>'Chemical Plan'!A48</f>
        <v>None</v>
      </c>
      <c r="C57" s="3">
        <f>'Chemical Plan'!F48/VLOOKUP(B57,CornFungicides,3,FALSE)*$F$3</f>
        <v>0</v>
      </c>
      <c r="D57" s="4" t="str">
        <f>VLOOKUP(B57,CornFungicides,4,FALSE)</f>
        <v>None</v>
      </c>
    </row>
    <row r="58" spans="2:10">
      <c r="B58" t="str">
        <f>'Chemical Plan'!A49</f>
        <v>None</v>
      </c>
      <c r="C58" s="3">
        <f>'Chemical Plan'!F49/VLOOKUP(B58,CornFungicides,3,FALSE)*$F$3</f>
        <v>0</v>
      </c>
      <c r="D58" s="4" t="str">
        <f>VLOOKUP(B58,CornFungicides,4,FALSE)</f>
        <v>None</v>
      </c>
    </row>
    <row r="59" spans="2:10">
      <c r="B59" t="str">
        <f>'Chemical Plan'!A50</f>
        <v>None</v>
      </c>
      <c r="C59" s="3">
        <f>'Chemical Plan'!F50/VLOOKUP(B59,CornFungicides,3,FALSE)*$F$3</f>
        <v>0</v>
      </c>
      <c r="D59" s="4" t="str">
        <f>VLOOKUP(B59,CornFungicides,4,FALSE)</f>
        <v>None</v>
      </c>
    </row>
    <row r="60" spans="2:10">
      <c r="B60" t="str">
        <f>'Chemical Plan'!A51</f>
        <v>None</v>
      </c>
      <c r="C60" s="3">
        <f>'Chemical Plan'!F51/VLOOKUP(B60,CornFungicides,3,FALSE)*$F$3</f>
        <v>0</v>
      </c>
      <c r="D60" s="4" t="str">
        <f>VLOOKUP(B60,CornFungicides,4,FALSE)</f>
        <v>None</v>
      </c>
    </row>
    <row r="61" spans="2:10">
      <c r="B61" t="str">
        <f>'Chemical Plan'!A52</f>
        <v>None</v>
      </c>
      <c r="C61" s="3">
        <f>'Chemical Plan'!F52/VLOOKUP(B61,CornFungicides,3,FALSE)*$F$3</f>
        <v>0</v>
      </c>
      <c r="D61" s="4" t="str">
        <f>VLOOKUP(B61,CornFungicides,4,FALSE)</f>
        <v>None</v>
      </c>
    </row>
    <row r="63" spans="2:10">
      <c r="B63" s="799" t="s">
        <v>1035</v>
      </c>
      <c r="C63" s="799" t="s">
        <v>1024</v>
      </c>
      <c r="D63" s="799" t="s">
        <v>1025</v>
      </c>
    </row>
    <row r="64" spans="2:10">
      <c r="B64" t="str">
        <f>'Chemical Plan'!A66</f>
        <v>None</v>
      </c>
      <c r="C64" s="3">
        <f>'Chemical Plan'!F66/VLOOKUP(B64,CornInsecticides,3,FALSE)*$F$3</f>
        <v>0</v>
      </c>
      <c r="D64" s="4" t="str">
        <f>VLOOKUP(B64,CornInsecticides,4,FALSE)</f>
        <v>None</v>
      </c>
    </row>
    <row r="65" spans="2:4">
      <c r="B65" t="str">
        <f>'Chemical Plan'!A67</f>
        <v>None</v>
      </c>
      <c r="C65" s="3">
        <f>'Chemical Plan'!F67/VLOOKUP(B65,CornInsecticides,3,FALSE)*$F$3</f>
        <v>0</v>
      </c>
      <c r="D65" s="4" t="str">
        <f>VLOOKUP(B65,CornInsecticides,4,FALSE)</f>
        <v>None</v>
      </c>
    </row>
    <row r="66" spans="2:4">
      <c r="B66" t="str">
        <f>'Chemical Plan'!A68</f>
        <v>None</v>
      </c>
      <c r="C66" s="3">
        <f>'Chemical Plan'!F68/VLOOKUP(B66,CornInsecticides,3,FALSE)*$F$3</f>
        <v>0</v>
      </c>
      <c r="D66" s="4" t="str">
        <f>VLOOKUP(B66,CornInsecticides,4,FALSE)</f>
        <v>None</v>
      </c>
    </row>
    <row r="67" spans="2:4">
      <c r="B67" t="str">
        <f>'Chemical Plan'!A69</f>
        <v>None</v>
      </c>
      <c r="C67" s="3">
        <f>'Chemical Plan'!F69/VLOOKUP(B67,CornInsecticides,3,FALSE)*$F$3</f>
        <v>0</v>
      </c>
      <c r="D67" s="4" t="str">
        <f>VLOOKUP(B67,CornInsecticides,4,FALSE)</f>
        <v>None</v>
      </c>
    </row>
    <row r="68" spans="2:4">
      <c r="B68" t="str">
        <f>'Chemical Plan'!A70</f>
        <v>None</v>
      </c>
      <c r="C68" s="3">
        <f>'Chemical Plan'!F70/VLOOKUP(B68,CornInsecticides,3,FALSE)*$F$3</f>
        <v>0</v>
      </c>
      <c r="D68" s="4" t="str">
        <f>VLOOKUP(B68,CornInsecticides,4,FALSE)</f>
        <v>None</v>
      </c>
    </row>
    <row r="70" spans="2:4">
      <c r="B70" s="799" t="s">
        <v>1036</v>
      </c>
      <c r="C70" s="799" t="s">
        <v>1024</v>
      </c>
      <c r="D70" s="799" t="s">
        <v>1025</v>
      </c>
    </row>
    <row r="71" spans="2:4">
      <c r="B71" t="str">
        <f>'Chemical Plan'!A14</f>
        <v>None</v>
      </c>
      <c r="C71" s="3">
        <f>'Chemical Plan'!F14/VLOOKUP(B71,CornAdjuvants,3,FALSE)*$F$3</f>
        <v>0</v>
      </c>
      <c r="D71" s="4" t="str">
        <f t="shared" ref="D71:D80" si="5">VLOOKUP(B71,CornAdjuvants,4,FALSE)</f>
        <v>None</v>
      </c>
    </row>
    <row r="72" spans="2:4">
      <c r="B72" t="str">
        <f>'Chemical Plan'!A15</f>
        <v>None</v>
      </c>
      <c r="C72" s="3">
        <f>'Chemical Plan'!F15/VLOOKUP(B72,CornAdjuvants,3,FALSE)*$F$3</f>
        <v>0</v>
      </c>
      <c r="D72" s="4" t="str">
        <f t="shared" si="5"/>
        <v>None</v>
      </c>
    </row>
    <row r="73" spans="2:4">
      <c r="B73" t="str">
        <f>'Chemical Plan'!A16</f>
        <v>None</v>
      </c>
      <c r="C73" s="3">
        <f>'Chemical Plan'!F16/VLOOKUP(B73,CornAdjuvants,3,FALSE)*$F$3</f>
        <v>0</v>
      </c>
      <c r="D73" s="4" t="str">
        <f t="shared" si="5"/>
        <v>None</v>
      </c>
    </row>
    <row r="74" spans="2:4">
      <c r="B74" t="str">
        <f>'Chemical Plan'!A17</f>
        <v>None</v>
      </c>
      <c r="C74" s="3">
        <f>'Chemical Plan'!F17/VLOOKUP(B74,CornAdjuvants,3,FALSE)*$F$3</f>
        <v>0</v>
      </c>
      <c r="D74" s="4" t="str">
        <f t="shared" si="5"/>
        <v>None</v>
      </c>
    </row>
    <row r="75" spans="2:4">
      <c r="B75" t="str">
        <f>'Chemical Plan'!A18</f>
        <v>None</v>
      </c>
      <c r="C75" s="3">
        <f>'Chemical Plan'!F18/VLOOKUP(B75,CornAdjuvants,3,FALSE)*$F$3</f>
        <v>0</v>
      </c>
      <c r="D75" s="4" t="str">
        <f t="shared" si="5"/>
        <v>None</v>
      </c>
    </row>
    <row r="76" spans="2:4">
      <c r="B76" t="str">
        <f>'Chemical Plan'!A35</f>
        <v>None</v>
      </c>
      <c r="C76" s="3">
        <f>'Chemical Plan'!F35/VLOOKUP(B76,CornAdjuvants,3,FALSE)*$F$3</f>
        <v>0</v>
      </c>
      <c r="D76" s="4" t="str">
        <f t="shared" si="5"/>
        <v>None</v>
      </c>
    </row>
    <row r="77" spans="2:4">
      <c r="B77" t="str">
        <f>'Chemical Plan'!A36</f>
        <v>None</v>
      </c>
      <c r="C77" s="3">
        <f>'Chemical Plan'!F36/VLOOKUP(B77,CornAdjuvants,3,FALSE)*$F$3</f>
        <v>0</v>
      </c>
      <c r="D77" s="4" t="str">
        <f t="shared" si="5"/>
        <v>None</v>
      </c>
    </row>
    <row r="78" spans="2:4">
      <c r="B78" t="str">
        <f>'Chemical Plan'!A37</f>
        <v>None</v>
      </c>
      <c r="C78" s="3">
        <f>'Chemical Plan'!F37/VLOOKUP(B78,CornAdjuvants,3,FALSE)*$F$3</f>
        <v>0</v>
      </c>
      <c r="D78" s="4" t="str">
        <f t="shared" si="5"/>
        <v>None</v>
      </c>
    </row>
    <row r="79" spans="2:4">
      <c r="B79" t="str">
        <f>'Chemical Plan'!A38</f>
        <v>None</v>
      </c>
      <c r="C79" s="3">
        <f>'Chemical Plan'!F38/VLOOKUP(B79,CornAdjuvants,3,FALSE)*$F$3</f>
        <v>0</v>
      </c>
      <c r="D79" s="4" t="str">
        <f t="shared" si="5"/>
        <v>None</v>
      </c>
    </row>
    <row r="80" spans="2:4">
      <c r="B80" t="str">
        <f>'Chemical Plan'!A39</f>
        <v>None</v>
      </c>
      <c r="C80" s="3">
        <f>'Chemical Plan'!F39/VLOOKUP(B80,CornAdjuvants,3,FALSE)*$F$3</f>
        <v>0</v>
      </c>
      <c r="D80" s="4" t="str">
        <f t="shared" si="5"/>
        <v>None</v>
      </c>
    </row>
    <row r="81" spans="2:4">
      <c r="B81" t="str">
        <f>'Chemical Plan'!A55</f>
        <v>None</v>
      </c>
      <c r="C81" s="3">
        <f>'Chemical Plan'!F55/VLOOKUP(B81,CornAdjuvants,3,FALSE)*$F$3</f>
        <v>0</v>
      </c>
      <c r="D81" s="4" t="str">
        <f t="shared" ref="D81" si="6">VLOOKUP(B81,CornAdjuvants,4,FALSE)</f>
        <v>None</v>
      </c>
    </row>
    <row r="82" spans="2:4">
      <c r="B82" t="str">
        <f>'Chemical Plan'!A56</f>
        <v>None</v>
      </c>
      <c r="C82" s="3">
        <f>'Chemical Plan'!F56/VLOOKUP(B82,CornAdjuvants,3,FALSE)*$F$3</f>
        <v>0</v>
      </c>
      <c r="D82" s="4" t="str">
        <f t="shared" ref="D82:D86" si="7">VLOOKUP(B82,CornAdjuvants,4,FALSE)</f>
        <v>None</v>
      </c>
    </row>
    <row r="83" spans="2:4">
      <c r="B83" t="str">
        <f>'Chemical Plan'!A57</f>
        <v>None</v>
      </c>
      <c r="C83" s="3">
        <f>'Chemical Plan'!F57/VLOOKUP(B83,CornAdjuvants,3,FALSE)*$F$3</f>
        <v>0</v>
      </c>
      <c r="D83" s="4" t="str">
        <f t="shared" si="7"/>
        <v>None</v>
      </c>
    </row>
    <row r="84" spans="2:4">
      <c r="B84" t="str">
        <f>'Chemical Plan'!A58</f>
        <v>None</v>
      </c>
      <c r="C84" s="3">
        <f>'Chemical Plan'!F58/VLOOKUP(B84,CornAdjuvants,3,FALSE)*$F$3</f>
        <v>0</v>
      </c>
      <c r="D84" s="4" t="str">
        <f t="shared" si="7"/>
        <v>None</v>
      </c>
    </row>
    <row r="85" spans="2:4">
      <c r="B85" t="str">
        <f>'Chemical Plan'!A59</f>
        <v>None</v>
      </c>
      <c r="C85" s="3">
        <f>'Chemical Plan'!F59/VLOOKUP(B85,CornAdjuvants,3,FALSE)*$F$3</f>
        <v>0</v>
      </c>
      <c r="D85" s="4" t="str">
        <f t="shared" si="7"/>
        <v>None</v>
      </c>
    </row>
    <row r="86" spans="2:4">
      <c r="B86" t="str">
        <f>'Chemical Plan'!A73</f>
        <v>None</v>
      </c>
      <c r="C86" s="3">
        <f>'Chemical Plan'!F73/VLOOKUP(B86,CornAdjuvants,3,FALSE)*$F$3</f>
        <v>0</v>
      </c>
      <c r="D86" s="4" t="str">
        <f t="shared" si="7"/>
        <v>None</v>
      </c>
    </row>
    <row r="87" spans="2:4">
      <c r="B87" t="str">
        <f>'Chemical Plan'!A74</f>
        <v>None</v>
      </c>
      <c r="C87" s="3">
        <f>'Chemical Plan'!F74/VLOOKUP(B87,CornAdjuvants,3,FALSE)*$F$3</f>
        <v>0</v>
      </c>
      <c r="D87" s="4" t="str">
        <f t="shared" ref="D87:D90" si="8">VLOOKUP(B87,CornAdjuvants,4,FALSE)</f>
        <v>None</v>
      </c>
    </row>
    <row r="88" spans="2:4">
      <c r="B88" t="str">
        <f>'Chemical Plan'!A75</f>
        <v>None</v>
      </c>
      <c r="C88" s="3">
        <f>'Chemical Plan'!F75/VLOOKUP(B88,CornAdjuvants,3,FALSE)*$F$3</f>
        <v>0</v>
      </c>
      <c r="D88" s="4" t="str">
        <f t="shared" si="8"/>
        <v>None</v>
      </c>
    </row>
    <row r="89" spans="2:4">
      <c r="B89" t="str">
        <f>'Chemical Plan'!A76</f>
        <v>None</v>
      </c>
      <c r="C89" s="3">
        <f>'Chemical Plan'!F76/VLOOKUP(B89,CornAdjuvants,3,FALSE)*$F$3</f>
        <v>0</v>
      </c>
      <c r="D89" s="4" t="str">
        <f t="shared" si="8"/>
        <v>None</v>
      </c>
    </row>
    <row r="90" spans="2:4">
      <c r="B90" t="str">
        <f>'Chemical Plan'!A77</f>
        <v>None</v>
      </c>
      <c r="C90" s="3">
        <f>'Chemical Plan'!F77/VLOOKUP(B90,CornAdjuvants,3,FALSE)*$F$3</f>
        <v>0</v>
      </c>
      <c r="D90" s="4" t="str">
        <f t="shared" si="8"/>
        <v>None</v>
      </c>
    </row>
  </sheetData>
  <sheetProtection algorithmName="SHA-512" hashValue="3onQ2Vh87iC2pEVrW3OvWZ3KyqWp0GB9KgIJ8FDM9R9iduJ8z3SQbDp4E/QJEjGqdk9MVIe0D/wr09eyTQLSGQ==" saltValue="K0rd9KyKuujwET1myzaSWA==" spinCount="100000" sheet="1" objects="1" scenarios="1"/>
  <mergeCells count="3">
    <mergeCell ref="H1:N1"/>
    <mergeCell ref="H23:N23"/>
    <mergeCell ref="B1:D1"/>
  </mergeCells>
  <conditionalFormatting sqref="H4:N70">
    <cfRule type="cellIs" dxfId="5" priority="1" operator="equal">
      <formula>0</formula>
    </cfRule>
    <cfRule type="cellIs" dxfId="4" priority="2" operator="equal">
      <formula>"None"</formula>
    </cfRule>
  </conditionalFormatting>
  <printOptions horizontalCentered="1" verticalCentered="1"/>
  <pageMargins left="0.7" right="0.7" top="0.75" bottom="0.75" header="0.3" footer="0.3"/>
  <pageSetup scale="66" orientation="landscape"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0975-5E82-44C0-9BD5-A29F13DD7550}">
  <sheetPr>
    <pageSetUpPr fitToPage="1"/>
  </sheetPr>
  <dimension ref="A1:N90"/>
  <sheetViews>
    <sheetView topLeftCell="G1" zoomScaleNormal="100" workbookViewId="0">
      <selection activeCell="F1" sqref="A1:F1048576"/>
    </sheetView>
  </sheetViews>
  <sheetFormatPr defaultRowHeight="14.4"/>
  <cols>
    <col min="1" max="1" width="9.109375" hidden="1" customWidth="1"/>
    <col min="2" max="2" width="41.33203125" hidden="1" customWidth="1"/>
    <col min="3" max="3" width="17.44140625" hidden="1" customWidth="1"/>
    <col min="4" max="4" width="12" hidden="1" customWidth="1"/>
    <col min="5" max="6" width="9.109375" hidden="1" customWidth="1"/>
    <col min="8" max="8" width="42.33203125" bestFit="1" customWidth="1"/>
    <col min="9" max="9" width="19.44140625" bestFit="1" customWidth="1"/>
    <col min="10" max="10" width="13.6640625" bestFit="1" customWidth="1"/>
    <col min="11" max="11" width="12.109375" customWidth="1"/>
    <col min="12" max="12" width="32.109375" bestFit="1" customWidth="1"/>
    <col min="13" max="13" width="19.44140625" bestFit="1" customWidth="1"/>
    <col min="14" max="14" width="13.6640625" bestFit="1" customWidth="1"/>
  </cols>
  <sheetData>
    <row r="1" spans="2:14" ht="21">
      <c r="B1" s="1020" t="s">
        <v>1026</v>
      </c>
      <c r="C1" s="1021"/>
      <c r="D1" s="1021"/>
      <c r="H1" s="1019" t="s">
        <v>1041</v>
      </c>
      <c r="I1" s="909"/>
      <c r="J1" s="909"/>
      <c r="K1" s="909"/>
      <c r="L1" s="909"/>
      <c r="M1" s="909"/>
      <c r="N1" s="909"/>
    </row>
    <row r="2" spans="2:14" ht="15.6">
      <c r="F2" s="4" t="s">
        <v>122</v>
      </c>
      <c r="H2" s="2"/>
      <c r="I2" s="2"/>
      <c r="J2" s="2"/>
      <c r="K2" s="2"/>
      <c r="L2" s="2"/>
      <c r="M2" s="2"/>
      <c r="N2" s="2"/>
    </row>
    <row r="3" spans="2:14" ht="15.6">
      <c r="B3" s="799" t="s">
        <v>1027</v>
      </c>
      <c r="C3" s="799" t="s">
        <v>1024</v>
      </c>
      <c r="D3" s="799" t="s">
        <v>1025</v>
      </c>
      <c r="F3" s="4">
        <f>'Crop Budget (Main)'!G11</f>
        <v>1</v>
      </c>
      <c r="H3" s="132" t="s">
        <v>1</v>
      </c>
      <c r="I3" s="132" t="s">
        <v>1024</v>
      </c>
      <c r="J3" s="132" t="s">
        <v>1025</v>
      </c>
      <c r="K3" s="132"/>
      <c r="L3" s="132" t="s">
        <v>32</v>
      </c>
      <c r="M3" s="132" t="s">
        <v>1024</v>
      </c>
      <c r="N3" s="132" t="s">
        <v>1025</v>
      </c>
    </row>
    <row r="4" spans="2:14" ht="15.6">
      <c r="B4" s="798" t="str">
        <f>'Fertilizer Plan'!M6</f>
        <v>None</v>
      </c>
      <c r="C4" s="79">
        <f>('Fertilizer Plan'!Q6*VLOOKUP(B4,Macronutrients,14,FALSE))/VLOOKUP(B4,Macronutrients,16,FALSE)*$F$3</f>
        <v>0</v>
      </c>
      <c r="D4" s="4" t="str">
        <f t="shared" ref="D4:D21" si="0">VLOOKUP(B4,Macronutrients,17,FALSE)</f>
        <v>None</v>
      </c>
      <c r="H4" s="800" t="str" cm="1">
        <f t="array" ref="H4:I4">_xlfn._xlws.SORT(_xlfn.LET(_xlpm.a,B4:B21,_xlpm.b,C4:C21,_xlfn.HSTACK(_xlfn.UNIQUE(_xlpm.a),SUMIFS(_xlpm.b,_xlpm.a,_xlfn.UNIQUE(_xlpm.a)))))</f>
        <v>None</v>
      </c>
      <c r="I4" s="801">
        <v>0</v>
      </c>
      <c r="J4" s="57" t="str">
        <f t="shared" ref="J4:J21" si="1">IFERROR(VLOOKUP(H4,Macronutrients,17,FALSE),"")</f>
        <v>None</v>
      </c>
      <c r="K4" s="57"/>
      <c r="L4" s="800" t="str" cm="1">
        <f t="array" ref="L4:M4">_xlfn.LET(_xlpm.a,B40,_xlpm.b,C40,_xlfn.HSTACK(_xlfn.UNIQUE(_xlpm.a),SUMIFS(_xlpm.b,_xlpm.a,_xlfn.UNIQUE(_xlpm.a))))</f>
        <v>None</v>
      </c>
      <c r="M4" s="57">
        <v>0</v>
      </c>
      <c r="N4" s="57" t="str">
        <f>IFERROR(VLOOKUP(L4,Lime,17,FALSE),"")</f>
        <v>None</v>
      </c>
    </row>
    <row r="5" spans="2:14" ht="15.6">
      <c r="B5" s="798" t="str">
        <f>'Fertilizer Plan'!M7</f>
        <v>None</v>
      </c>
      <c r="C5" s="79">
        <f>('Fertilizer Plan'!Q7*VLOOKUP(B5,Macronutrients,14,FALSE))/VLOOKUP(B5,Macronutrients,16,FALSE)*$F$3</f>
        <v>0</v>
      </c>
      <c r="D5" s="4" t="str">
        <f t="shared" si="0"/>
        <v>None</v>
      </c>
      <c r="H5" s="2"/>
      <c r="I5" s="801"/>
      <c r="J5" s="57" t="str">
        <f t="shared" si="1"/>
        <v/>
      </c>
      <c r="K5" s="57"/>
      <c r="L5" s="2"/>
      <c r="M5" s="2"/>
      <c r="N5" s="2"/>
    </row>
    <row r="6" spans="2:14" ht="15.6">
      <c r="B6" s="798" t="str">
        <f>'Fertilizer Plan'!M8</f>
        <v>None</v>
      </c>
      <c r="C6" s="79">
        <f>('Fertilizer Plan'!Q8*VLOOKUP(B6,Macronutrients,14,FALSE))/VLOOKUP(B6,Macronutrients,16,FALSE)*$F$3</f>
        <v>0</v>
      </c>
      <c r="D6" s="4" t="str">
        <f t="shared" si="0"/>
        <v>None</v>
      </c>
      <c r="H6" s="2"/>
      <c r="I6" s="801"/>
      <c r="J6" s="57" t="str">
        <f t="shared" si="1"/>
        <v/>
      </c>
      <c r="K6" s="57"/>
      <c r="L6" s="132" t="s">
        <v>27</v>
      </c>
      <c r="M6" s="132" t="s">
        <v>1024</v>
      </c>
      <c r="N6" s="132" t="s">
        <v>1025</v>
      </c>
    </row>
    <row r="7" spans="2:14" ht="15.6">
      <c r="B7" s="798" t="str">
        <f>'Fertilizer Plan'!M9</f>
        <v>None</v>
      </c>
      <c r="C7" s="79">
        <f>('Fertilizer Plan'!Q9*VLOOKUP(B7,Macronutrients,14,FALSE))/VLOOKUP(B7,Macronutrients,16,FALSE)*$F$3</f>
        <v>0</v>
      </c>
      <c r="D7" s="4" t="str">
        <f t="shared" si="0"/>
        <v>None</v>
      </c>
      <c r="H7" s="2"/>
      <c r="I7" s="801"/>
      <c r="J7" s="57" t="str">
        <f t="shared" si="1"/>
        <v/>
      </c>
      <c r="K7" s="57"/>
      <c r="L7" s="800" t="str" cm="1">
        <f t="array" ref="L7:M7">_xlfn._xlws.SORT(_xlfn.LET(_xlpm.a,B26:B37,_xlpm.b,C26:C37,_xlfn.HSTACK(_xlfn.UNIQUE(_xlpm.a),SUMIFS(_xlpm.b,_xlpm.a,_xlfn.UNIQUE(_xlpm.a)))))</f>
        <v>None</v>
      </c>
      <c r="M7" s="57">
        <v>0</v>
      </c>
      <c r="N7" s="57" t="str">
        <f t="shared" ref="N7:N18" si="2">IFERROR(VLOOKUP(L7,Micronutrients,17,FALSE),"")</f>
        <v>None</v>
      </c>
    </row>
    <row r="8" spans="2:14" ht="15.6">
      <c r="B8" s="798" t="str">
        <f>'Fertilizer Plan'!M10</f>
        <v>None</v>
      </c>
      <c r="C8" s="79">
        <f>('Fertilizer Plan'!Q10*VLOOKUP(B8,Macronutrients,14,FALSE))/VLOOKUP(B8,Macronutrients,16,FALSE)*$F$3</f>
        <v>0</v>
      </c>
      <c r="D8" s="4" t="str">
        <f t="shared" si="0"/>
        <v>None</v>
      </c>
      <c r="H8" s="2"/>
      <c r="I8" s="801"/>
      <c r="J8" s="57" t="str">
        <f t="shared" si="1"/>
        <v/>
      </c>
      <c r="K8" s="57"/>
      <c r="L8" s="2"/>
      <c r="M8" s="57"/>
      <c r="N8" s="57" t="str">
        <f t="shared" si="2"/>
        <v/>
      </c>
    </row>
    <row r="9" spans="2:14" ht="15.6">
      <c r="B9" s="798" t="str">
        <f>'Fertilizer Plan'!M11</f>
        <v>None</v>
      </c>
      <c r="C9" s="79">
        <f>('Fertilizer Plan'!Q11*VLOOKUP(B9,Macronutrients,14,FALSE))/VLOOKUP(B9,Macronutrients,16,FALSE)*$F$3</f>
        <v>0</v>
      </c>
      <c r="D9" s="4" t="str">
        <f t="shared" si="0"/>
        <v>None</v>
      </c>
      <c r="H9" s="2"/>
      <c r="I9" s="801"/>
      <c r="J9" s="57" t="str">
        <f t="shared" si="1"/>
        <v/>
      </c>
      <c r="K9" s="57"/>
      <c r="L9" s="2"/>
      <c r="M9" s="57"/>
      <c r="N9" s="57" t="str">
        <f t="shared" si="2"/>
        <v/>
      </c>
    </row>
    <row r="10" spans="2:14" ht="15.6">
      <c r="B10" s="798" t="str">
        <f>'Fertilizer Plan'!M31</f>
        <v>None</v>
      </c>
      <c r="C10" s="79">
        <f>('Fertilizer Plan'!Q31*VLOOKUP(B10,Macronutrients,14,FALSE))/VLOOKUP(B10,Macronutrients,16,FALSE)*$F$3</f>
        <v>0</v>
      </c>
      <c r="D10" s="4" t="str">
        <f t="shared" si="0"/>
        <v>None</v>
      </c>
      <c r="H10" s="2"/>
      <c r="I10" s="801"/>
      <c r="J10" s="57" t="str">
        <f t="shared" si="1"/>
        <v/>
      </c>
      <c r="K10" s="57"/>
      <c r="L10" s="2"/>
      <c r="M10" s="57"/>
      <c r="N10" s="57" t="str">
        <f t="shared" si="2"/>
        <v/>
      </c>
    </row>
    <row r="11" spans="2:14" ht="15.6">
      <c r="B11" s="798" t="str">
        <f>'Fertilizer Plan'!M32</f>
        <v>None</v>
      </c>
      <c r="C11" s="79">
        <f>('Fertilizer Plan'!Q32*VLOOKUP(B11,Macronutrients,14,FALSE))/VLOOKUP(B11,Macronutrients,16,FALSE)*$F$3</f>
        <v>0</v>
      </c>
      <c r="D11" s="4" t="str">
        <f t="shared" si="0"/>
        <v>None</v>
      </c>
      <c r="H11" s="2"/>
      <c r="I11" s="801"/>
      <c r="J11" s="57" t="str">
        <f t="shared" si="1"/>
        <v/>
      </c>
      <c r="K11" s="57"/>
      <c r="L11" s="2"/>
      <c r="M11" s="57"/>
      <c r="N11" s="57" t="str">
        <f t="shared" si="2"/>
        <v/>
      </c>
    </row>
    <row r="12" spans="2:14" ht="15.6">
      <c r="B12" s="798" t="str">
        <f>'Fertilizer Plan'!M33</f>
        <v>None</v>
      </c>
      <c r="C12" s="79">
        <f>('Fertilizer Plan'!Q33*VLOOKUP(B12,Macronutrients,14,FALSE))/VLOOKUP(B12,Macronutrients,16,FALSE)*$F$3</f>
        <v>0</v>
      </c>
      <c r="D12" s="4" t="str">
        <f t="shared" si="0"/>
        <v>None</v>
      </c>
      <c r="H12" s="2"/>
      <c r="I12" s="801"/>
      <c r="J12" s="57" t="str">
        <f t="shared" si="1"/>
        <v/>
      </c>
      <c r="K12" s="57"/>
      <c r="L12" s="2"/>
      <c r="M12" s="57"/>
      <c r="N12" s="57" t="str">
        <f t="shared" si="2"/>
        <v/>
      </c>
    </row>
    <row r="13" spans="2:14" ht="15.6">
      <c r="B13" s="798" t="str">
        <f>'Fertilizer Plan'!M34</f>
        <v>None</v>
      </c>
      <c r="C13" s="79">
        <f>('Fertilizer Plan'!Q34*VLOOKUP(B13,Macronutrients,14,FALSE))/VLOOKUP(B13,Macronutrients,16,FALSE)*$F$3</f>
        <v>0</v>
      </c>
      <c r="D13" s="4" t="str">
        <f t="shared" si="0"/>
        <v>None</v>
      </c>
      <c r="H13" s="2"/>
      <c r="I13" s="801"/>
      <c r="J13" s="57" t="str">
        <f t="shared" si="1"/>
        <v/>
      </c>
      <c r="K13" s="57"/>
      <c r="L13" s="2"/>
      <c r="M13" s="57"/>
      <c r="N13" s="57" t="str">
        <f t="shared" si="2"/>
        <v/>
      </c>
    </row>
    <row r="14" spans="2:14" ht="15.6">
      <c r="B14" s="798" t="str">
        <f>'Fertilizer Plan'!M35</f>
        <v>None</v>
      </c>
      <c r="C14" s="79">
        <f>('Fertilizer Plan'!Q35*VLOOKUP(B14,Macronutrients,14,FALSE))/VLOOKUP(B14,Macronutrients,16,FALSE)*$F$3</f>
        <v>0</v>
      </c>
      <c r="D14" s="4" t="str">
        <f t="shared" si="0"/>
        <v>None</v>
      </c>
      <c r="H14" s="2"/>
      <c r="I14" s="801"/>
      <c r="J14" s="57" t="str">
        <f t="shared" si="1"/>
        <v/>
      </c>
      <c r="K14" s="57"/>
      <c r="L14" s="2"/>
      <c r="M14" s="57"/>
      <c r="N14" s="57" t="str">
        <f t="shared" si="2"/>
        <v/>
      </c>
    </row>
    <row r="15" spans="2:14" ht="15.6">
      <c r="B15" s="798" t="str">
        <f>'Fertilizer Plan'!M36</f>
        <v>None</v>
      </c>
      <c r="C15" s="79">
        <f>('Fertilizer Plan'!Q36*VLOOKUP(B15,Macronutrients,14,FALSE))/VLOOKUP(B15,Macronutrients,16,FALSE)*$F$3</f>
        <v>0</v>
      </c>
      <c r="D15" s="4" t="str">
        <f t="shared" si="0"/>
        <v>None</v>
      </c>
      <c r="H15" s="2"/>
      <c r="I15" s="801"/>
      <c r="J15" s="57" t="str">
        <f t="shared" si="1"/>
        <v/>
      </c>
      <c r="K15" s="57"/>
      <c r="L15" s="2"/>
      <c r="M15" s="57"/>
      <c r="N15" s="57" t="str">
        <f t="shared" si="2"/>
        <v/>
      </c>
    </row>
    <row r="16" spans="2:14" ht="15.6">
      <c r="B16" s="798" t="str">
        <f>'Fertilizer Plan'!M53</f>
        <v>None</v>
      </c>
      <c r="C16" s="79">
        <f>('Fertilizer Plan'!Q53*VLOOKUP(B16,Macronutrients,14,FALSE))/VLOOKUP(B16,Macronutrients,16,FALSE)*$F$3</f>
        <v>0</v>
      </c>
      <c r="D16" s="4" t="str">
        <f t="shared" si="0"/>
        <v>None</v>
      </c>
      <c r="H16" s="2"/>
      <c r="I16" s="801"/>
      <c r="J16" s="57" t="str">
        <f t="shared" si="1"/>
        <v/>
      </c>
      <c r="K16" s="57"/>
      <c r="L16" s="2"/>
      <c r="M16" s="57"/>
      <c r="N16" s="57" t="str">
        <f t="shared" si="2"/>
        <v/>
      </c>
    </row>
    <row r="17" spans="2:14" ht="15.6">
      <c r="B17" s="798" t="str">
        <f>'Fertilizer Plan'!M54</f>
        <v>None</v>
      </c>
      <c r="C17" s="79">
        <f>('Fertilizer Plan'!Q54*VLOOKUP(B17,Macronutrients,14,FALSE))/VLOOKUP(B17,Macronutrients,16,FALSE)*$F$3</f>
        <v>0</v>
      </c>
      <c r="D17" s="4" t="str">
        <f t="shared" si="0"/>
        <v>None</v>
      </c>
      <c r="H17" s="2"/>
      <c r="I17" s="801"/>
      <c r="J17" s="57" t="str">
        <f t="shared" si="1"/>
        <v/>
      </c>
      <c r="K17" s="57"/>
      <c r="L17" s="2"/>
      <c r="M17" s="57"/>
      <c r="N17" s="57" t="str">
        <f t="shared" si="2"/>
        <v/>
      </c>
    </row>
    <row r="18" spans="2:14" ht="15.6">
      <c r="B18" s="798" t="str">
        <f>'Fertilizer Plan'!M55</f>
        <v>None</v>
      </c>
      <c r="C18" s="79">
        <f>('Fertilizer Plan'!Q55*VLOOKUP(B18,Macronutrients,14,FALSE))/VLOOKUP(B18,Macronutrients,16,FALSE)*$F$3</f>
        <v>0</v>
      </c>
      <c r="D18" s="4" t="str">
        <f t="shared" si="0"/>
        <v>None</v>
      </c>
      <c r="H18" s="2"/>
      <c r="I18" s="801"/>
      <c r="J18" s="57" t="str">
        <f t="shared" si="1"/>
        <v/>
      </c>
      <c r="K18" s="57"/>
      <c r="L18" s="2"/>
      <c r="M18" s="57"/>
      <c r="N18" s="57" t="str">
        <f t="shared" si="2"/>
        <v/>
      </c>
    </row>
    <row r="19" spans="2:14" ht="15.6">
      <c r="B19" s="798" t="str">
        <f>'Fertilizer Plan'!M56</f>
        <v>None</v>
      </c>
      <c r="C19" s="79">
        <f>('Fertilizer Plan'!Q56*VLOOKUP(B19,Macronutrients,14,FALSE))/VLOOKUP(B19,Macronutrients,16,FALSE)*$F$3</f>
        <v>0</v>
      </c>
      <c r="D19" s="4" t="str">
        <f t="shared" si="0"/>
        <v>None</v>
      </c>
      <c r="H19" s="2"/>
      <c r="I19" s="801"/>
      <c r="J19" s="57" t="str">
        <f t="shared" si="1"/>
        <v/>
      </c>
      <c r="K19" s="57"/>
      <c r="L19" s="2"/>
      <c r="M19" s="57"/>
      <c r="N19" s="57"/>
    </row>
    <row r="20" spans="2:14" ht="15.6">
      <c r="B20" s="798" t="str">
        <f>'Fertilizer Plan'!M57</f>
        <v>None</v>
      </c>
      <c r="C20" s="79">
        <f>('Fertilizer Plan'!Q57*VLOOKUP(B20,Macronutrients,14,FALSE))/VLOOKUP(B20,Macronutrients,16,FALSE)*$F$3</f>
        <v>0</v>
      </c>
      <c r="D20" s="4" t="str">
        <f t="shared" si="0"/>
        <v>None</v>
      </c>
      <c r="H20" s="2"/>
      <c r="I20" s="801"/>
      <c r="J20" s="57" t="str">
        <f t="shared" si="1"/>
        <v/>
      </c>
      <c r="K20" s="57"/>
      <c r="L20" s="2"/>
      <c r="M20" s="57"/>
      <c r="N20" s="57"/>
    </row>
    <row r="21" spans="2:14" ht="15.6">
      <c r="B21" s="798" t="str">
        <f>'Fertilizer Plan'!M58</f>
        <v>None</v>
      </c>
      <c r="C21" s="79">
        <f>('Fertilizer Plan'!Q58*VLOOKUP(B21,Macronutrients,14,FALSE))/VLOOKUP(B21,Macronutrients,16,FALSE)*$F$3</f>
        <v>0</v>
      </c>
      <c r="D21" s="4" t="str">
        <f t="shared" si="0"/>
        <v>None</v>
      </c>
      <c r="H21" s="2"/>
      <c r="I21" s="801"/>
      <c r="J21" s="57" t="str">
        <f t="shared" si="1"/>
        <v/>
      </c>
      <c r="K21" s="57"/>
      <c r="L21" s="2"/>
      <c r="M21" s="57"/>
      <c r="N21" s="57"/>
    </row>
    <row r="22" spans="2:14" ht="15.6">
      <c r="B22" s="798"/>
      <c r="C22" s="79"/>
      <c r="D22" s="4"/>
      <c r="H22" s="2"/>
      <c r="I22" s="57"/>
      <c r="J22" s="57"/>
      <c r="K22" s="57"/>
      <c r="L22" s="2"/>
      <c r="M22" s="57"/>
      <c r="N22" s="57"/>
    </row>
    <row r="23" spans="2:14" ht="21">
      <c r="H23" s="1019" t="s">
        <v>1042</v>
      </c>
      <c r="I23" s="909"/>
      <c r="J23" s="909"/>
      <c r="K23" s="909"/>
      <c r="L23" s="909"/>
      <c r="M23" s="909"/>
      <c r="N23" s="909"/>
    </row>
    <row r="24" spans="2:14">
      <c r="M24" s="4"/>
      <c r="N24" s="4"/>
    </row>
    <row r="25" spans="2:14" ht="15.6">
      <c r="B25" s="799" t="s">
        <v>1028</v>
      </c>
      <c r="C25" s="799" t="s">
        <v>1024</v>
      </c>
      <c r="D25" s="799" t="s">
        <v>1025</v>
      </c>
      <c r="H25" s="132" t="s">
        <v>1037</v>
      </c>
      <c r="I25" s="132" t="s">
        <v>1024</v>
      </c>
      <c r="J25" s="132" t="s">
        <v>1025</v>
      </c>
      <c r="K25" s="2"/>
      <c r="L25" s="132" t="s">
        <v>123</v>
      </c>
      <c r="M25" s="132" t="s">
        <v>1024</v>
      </c>
      <c r="N25" s="132" t="s">
        <v>1025</v>
      </c>
    </row>
    <row r="26" spans="2:14" ht="15.6">
      <c r="B26" s="798" t="str">
        <f>'Fertilizer Plan'!M14</f>
        <v>None</v>
      </c>
      <c r="C26" s="79">
        <f>('Fertilizer Plan'!Q14*VLOOKUP(B26,Micronutrients,14,FALSE))/VLOOKUP(B26,Micronutrients,16,FALSE)*$F$3</f>
        <v>0</v>
      </c>
      <c r="D26" s="4" t="str">
        <f t="shared" ref="D26:D37" si="3">VLOOKUP(B26,Micronutrients,17,FALSE)</f>
        <v>None</v>
      </c>
      <c r="H26" s="800" t="str" cm="1">
        <f t="array" ref="H26:I26">_xlfn._xlws.SORT(_xlfn.LET(_xlpm.a,B43:B47,_xlpm.b,C43:C47,_xlfn.HSTACK(_xlfn.UNIQUE(_xlpm.a),SUMIFS(_xlpm.b,_xlpm.a,_xlfn.UNIQUE(_xlpm.a)))))</f>
        <v>None</v>
      </c>
      <c r="I26" s="57">
        <v>0</v>
      </c>
      <c r="J26" s="57" t="str">
        <f>IFERROR(VLOOKUP(H26,CornPreChemicals,4,FALSE),"")</f>
        <v>None</v>
      </c>
      <c r="K26" s="2"/>
      <c r="L26" s="800" t="str" cm="1">
        <f t="array" ref="L26:M26">_xlfn._xlws.SORT(_xlfn.LET(_xlpm.a,B57:B61,_xlpm.b,C57:C61,_xlfn.HSTACK(_xlfn.UNIQUE(_xlpm.a),SUMIFS(_xlpm.b,_xlpm.a,_xlfn.UNIQUE(_xlpm.a)))))</f>
        <v>None</v>
      </c>
      <c r="M26" s="57">
        <v>0</v>
      </c>
      <c r="N26" s="57" t="str">
        <f>IFERROR(VLOOKUP(L26,CornFungicides,4,FALSE),"")</f>
        <v>None</v>
      </c>
    </row>
    <row r="27" spans="2:14" ht="15.6">
      <c r="B27" s="798" t="str">
        <f>'Fertilizer Plan'!M15</f>
        <v>None</v>
      </c>
      <c r="C27" s="79">
        <f>('Fertilizer Plan'!Q15*VLOOKUP(B27,Micronutrients,14,FALSE))/VLOOKUP(B27,Micronutrients,16,FALSE)*$F$3</f>
        <v>0</v>
      </c>
      <c r="D27" s="4" t="str">
        <f t="shared" si="3"/>
        <v>None</v>
      </c>
      <c r="H27" s="2"/>
      <c r="I27" s="57"/>
      <c r="J27" s="57" t="str">
        <f>IFERROR(VLOOKUP(H27,CornPreChemicals,4,FALSE),"")</f>
        <v/>
      </c>
      <c r="K27" s="2"/>
      <c r="L27" s="2"/>
      <c r="M27" s="57"/>
      <c r="N27" s="57" t="str">
        <f>IFERROR(VLOOKUP(L27,CornFungicides,4,FALSE),"")</f>
        <v/>
      </c>
    </row>
    <row r="28" spans="2:14" ht="15.6">
      <c r="B28" s="798" t="str">
        <f>'Fertilizer Plan'!M16</f>
        <v>None</v>
      </c>
      <c r="C28" s="79">
        <f>('Fertilizer Plan'!Q16*VLOOKUP(B28,Micronutrients,14,FALSE))/VLOOKUP(B28,Micronutrients,16,FALSE)*$F$3</f>
        <v>0</v>
      </c>
      <c r="D28" s="4" t="str">
        <f t="shared" si="3"/>
        <v>None</v>
      </c>
      <c r="H28" s="2"/>
      <c r="I28" s="57"/>
      <c r="J28" s="57" t="str">
        <f>IFERROR(VLOOKUP(H28,CornPreChemicals,4,FALSE),"")</f>
        <v/>
      </c>
      <c r="K28" s="2"/>
      <c r="L28" s="2"/>
      <c r="M28" s="57"/>
      <c r="N28" s="57" t="str">
        <f>IFERROR(VLOOKUP(L28,CornFungicides,4,FALSE),"")</f>
        <v/>
      </c>
    </row>
    <row r="29" spans="2:14" ht="15.6">
      <c r="B29" s="798" t="str">
        <f>'Fertilizer Plan'!M17</f>
        <v>None</v>
      </c>
      <c r="C29" s="79">
        <f>('Fertilizer Plan'!Q17*VLOOKUP(B29,Micronutrients,14,FALSE))/VLOOKUP(B29,Micronutrients,16,FALSE)*$F$3</f>
        <v>0</v>
      </c>
      <c r="D29" s="4" t="str">
        <f t="shared" si="3"/>
        <v>None</v>
      </c>
      <c r="H29" s="2"/>
      <c r="I29" s="2"/>
      <c r="J29" s="57" t="str">
        <f>IFERROR(VLOOKUP(H29,CornPreChemicals,4,FALSE),"")</f>
        <v/>
      </c>
      <c r="K29" s="2"/>
      <c r="L29" s="2"/>
      <c r="M29" s="57"/>
      <c r="N29" s="57" t="str">
        <f>IFERROR(VLOOKUP(L29,CornFungicides,4,FALSE),"")</f>
        <v/>
      </c>
    </row>
    <row r="30" spans="2:14" ht="15.6">
      <c r="B30" s="798" t="str">
        <f>'Fertilizer Plan'!M39</f>
        <v>None</v>
      </c>
      <c r="C30" s="79">
        <f>('Fertilizer Plan'!Q39*VLOOKUP(B30,Micronutrients,14,FALSE))/VLOOKUP(B30,Micronutrients,16,FALSE)*$F$3</f>
        <v>0</v>
      </c>
      <c r="D30" s="4" t="str">
        <f t="shared" si="3"/>
        <v>None</v>
      </c>
      <c r="H30" s="2"/>
      <c r="I30" s="2"/>
      <c r="J30" s="57" t="str">
        <f>IFERROR(VLOOKUP(H30,CornPreChemicals,4,FALSE),"")</f>
        <v/>
      </c>
      <c r="K30" s="2"/>
      <c r="L30" s="2"/>
      <c r="M30" s="57"/>
      <c r="N30" s="57" t="str">
        <f>IFERROR(VLOOKUP(L30,CornFungicides,4,FALSE),"")</f>
        <v/>
      </c>
    </row>
    <row r="31" spans="2:14" ht="15.6">
      <c r="B31" s="798" t="str">
        <f>'Fertilizer Plan'!M40</f>
        <v>None</v>
      </c>
      <c r="C31" s="79">
        <f>('Fertilizer Plan'!Q40*VLOOKUP(B31,Micronutrients,14,FALSE))/VLOOKUP(B31,Micronutrients,16,FALSE)*$F$3</f>
        <v>0</v>
      </c>
      <c r="D31" s="4" t="str">
        <f t="shared" si="3"/>
        <v>None</v>
      </c>
      <c r="H31" s="2"/>
      <c r="I31" s="2"/>
      <c r="J31" s="2"/>
      <c r="K31" s="2"/>
      <c r="L31" s="2"/>
      <c r="M31" s="2"/>
      <c r="N31" s="2"/>
    </row>
    <row r="32" spans="2:14" ht="15.6">
      <c r="B32" s="798" t="str">
        <f>'Fertilizer Plan'!M41</f>
        <v>None</v>
      </c>
      <c r="C32" s="79">
        <f>('Fertilizer Plan'!Q41*VLOOKUP(B32,Micronutrients,14,FALSE))/VLOOKUP(B32,Micronutrients,16,FALSE)*$F$3</f>
        <v>0</v>
      </c>
      <c r="D32" s="4" t="str">
        <f t="shared" si="3"/>
        <v>None</v>
      </c>
      <c r="H32" s="132" t="s">
        <v>1038</v>
      </c>
      <c r="I32" s="132" t="s">
        <v>1024</v>
      </c>
      <c r="J32" s="132" t="s">
        <v>1025</v>
      </c>
      <c r="K32" s="2"/>
      <c r="L32" s="132" t="s">
        <v>161</v>
      </c>
      <c r="M32" s="132" t="s">
        <v>1024</v>
      </c>
      <c r="N32" s="132" t="s">
        <v>1025</v>
      </c>
    </row>
    <row r="33" spans="2:14" ht="15.6">
      <c r="B33" s="798" t="str">
        <f>'Fertilizer Plan'!M42</f>
        <v>None</v>
      </c>
      <c r="C33" s="79">
        <f>('Fertilizer Plan'!Q42*VLOOKUP(B33,Micronutrients,14,FALSE))/VLOOKUP(B33,Micronutrients,16,FALSE)*$F$3</f>
        <v>0</v>
      </c>
      <c r="D33" s="4" t="str">
        <f t="shared" si="3"/>
        <v>None</v>
      </c>
      <c r="H33" s="800" t="str" cm="1">
        <f t="array" ref="H33:I33">_xlfn._xlws.SORT(_xlfn.LET(_xlpm.a,B50:B54,_xlpm.b,C50:C54,_xlfn.HSTACK(_xlfn.UNIQUE(_xlpm.a),SUMIFS(_xlpm.b,_xlpm.a,_xlfn.UNIQUE(_xlpm.a)))))</f>
        <v>None</v>
      </c>
      <c r="I33" s="57">
        <v>0</v>
      </c>
      <c r="J33" s="57" t="str">
        <f>IFERROR(VLOOKUP(H33,CornPreChemicals,4,FALSE),"")</f>
        <v>None</v>
      </c>
      <c r="K33" s="2"/>
      <c r="L33" s="800" t="str" cm="1">
        <f t="array" ref="L33:M33">_xlfn._xlws.SORT(_xlfn.LET(_xlpm.a,B64:B68,_xlpm.b,C64:C68,_xlfn.HSTACK(_xlfn.UNIQUE(_xlpm.a),SUMIFS(_xlpm.b,_xlpm.a,_xlfn.UNIQUE(_xlpm.a)))))</f>
        <v>None</v>
      </c>
      <c r="M33" s="57">
        <v>0</v>
      </c>
      <c r="N33" s="57" t="str">
        <f>IFERROR(VLOOKUP(L33,CornInsecticides,4,FALSE),"")</f>
        <v>None</v>
      </c>
    </row>
    <row r="34" spans="2:14" ht="15.6">
      <c r="B34" s="798" t="str">
        <f>'Fertilizer Plan'!M61</f>
        <v>None</v>
      </c>
      <c r="C34" s="79">
        <f>('Fertilizer Plan'!Q61*VLOOKUP(B34,Micronutrients,14,FALSE))/VLOOKUP(B34,Micronutrients,16,FALSE)*$F$3</f>
        <v>0</v>
      </c>
      <c r="D34" s="4" t="str">
        <f t="shared" si="3"/>
        <v>None</v>
      </c>
      <c r="H34" s="2"/>
      <c r="I34" s="57"/>
      <c r="J34" s="2"/>
      <c r="K34" s="2"/>
      <c r="L34" s="2"/>
      <c r="M34" s="57"/>
      <c r="N34" s="57" t="str">
        <f>IFERROR(VLOOKUP(L34,CornInsecticides,4,FALSE),"")</f>
        <v/>
      </c>
    </row>
    <row r="35" spans="2:14" ht="15.6">
      <c r="B35" s="798" t="str">
        <f>'Fertilizer Plan'!M62</f>
        <v>None</v>
      </c>
      <c r="C35" s="79">
        <f>('Fertilizer Plan'!Q62*VLOOKUP(B35,Micronutrients,14,FALSE))/VLOOKUP(B35,Micronutrients,16,FALSE)*$F$3</f>
        <v>0</v>
      </c>
      <c r="D35" s="4" t="str">
        <f t="shared" si="3"/>
        <v>None</v>
      </c>
      <c r="H35" s="2"/>
      <c r="I35" s="57"/>
      <c r="J35" s="2"/>
      <c r="K35" s="2"/>
      <c r="L35" s="2"/>
      <c r="M35" s="57"/>
      <c r="N35" s="57" t="str">
        <f>IFERROR(VLOOKUP(L35,CornInsecticides,4,FALSE),"")</f>
        <v/>
      </c>
    </row>
    <row r="36" spans="2:14" ht="15.6">
      <c r="B36" s="798" t="str">
        <f>'Fertilizer Plan'!M63</f>
        <v>None</v>
      </c>
      <c r="C36" s="79">
        <f>('Fertilizer Plan'!Q63*VLOOKUP(B36,Micronutrients,14,FALSE))/VLOOKUP(B36,Micronutrients,16,FALSE)*$F$3</f>
        <v>0</v>
      </c>
      <c r="D36" s="4" t="str">
        <f t="shared" si="3"/>
        <v>None</v>
      </c>
      <c r="H36" s="2"/>
      <c r="I36" s="57"/>
      <c r="J36" s="2"/>
      <c r="K36" s="2"/>
      <c r="L36" s="2"/>
      <c r="M36" s="57"/>
      <c r="N36" s="57" t="str">
        <f>IFERROR(VLOOKUP(L36,CornInsecticides,4,FALSE),"")</f>
        <v/>
      </c>
    </row>
    <row r="37" spans="2:14" ht="15.6">
      <c r="B37" s="798" t="str">
        <f>'Fertilizer Plan'!M64</f>
        <v>None</v>
      </c>
      <c r="C37" s="79">
        <f>('Fertilizer Plan'!Q64*VLOOKUP(B37,Micronutrients,14,FALSE))/VLOOKUP(B37,Micronutrients,16,FALSE)*$F$3</f>
        <v>0</v>
      </c>
      <c r="D37" s="4" t="str">
        <f t="shared" si="3"/>
        <v>None</v>
      </c>
      <c r="H37" s="2"/>
      <c r="I37" s="57"/>
      <c r="J37" s="2"/>
      <c r="K37" s="2"/>
      <c r="L37" s="2"/>
      <c r="M37" s="57"/>
      <c r="N37" s="57" t="str">
        <f>IFERROR(VLOOKUP(L37,CornInsecticides,4,FALSE),"")</f>
        <v/>
      </c>
    </row>
    <row r="38" spans="2:14" ht="15.6">
      <c r="H38" s="2"/>
      <c r="I38" s="2"/>
      <c r="J38" s="2"/>
      <c r="K38" s="2"/>
      <c r="L38" s="2"/>
      <c r="M38" s="2"/>
      <c r="N38" s="2"/>
    </row>
    <row r="39" spans="2:14" ht="15.6">
      <c r="B39" s="799" t="s">
        <v>1029</v>
      </c>
      <c r="C39" s="799" t="s">
        <v>1024</v>
      </c>
      <c r="D39" s="799" t="s">
        <v>1025</v>
      </c>
      <c r="H39" s="132" t="s">
        <v>150</v>
      </c>
      <c r="I39" s="132" t="s">
        <v>1024</v>
      </c>
      <c r="J39" s="132" t="s">
        <v>1025</v>
      </c>
      <c r="K39" s="2"/>
      <c r="L39" s="2"/>
      <c r="M39" s="2"/>
      <c r="N39" s="2"/>
    </row>
    <row r="40" spans="2:14" ht="15.6">
      <c r="B40" s="798" t="str">
        <f>'Fertilizer Plan'!M20</f>
        <v>None</v>
      </c>
      <c r="C40" s="79">
        <f>('Fertilizer Plan'!Q20*VLOOKUP(B40,Lime,14,FALSE))/VLOOKUP(B40,Lime,16,FALSE)*$F$3</f>
        <v>0</v>
      </c>
      <c r="D40" s="4" t="str">
        <f>VLOOKUP(B40,Micronutrients,17,FALSE)</f>
        <v>None</v>
      </c>
      <c r="H40" s="800" t="str" cm="1">
        <f t="array" ref="H40:I40">_xlfn._xlws.SORT(_xlfn.LET(_xlpm.a,B71:B90,_xlpm.b,C71:C90,_xlfn.HSTACK(_xlfn.UNIQUE(_xlpm.a),SUMIFS(_xlpm.b,_xlpm.a,_xlfn.UNIQUE(_xlpm.a)))))</f>
        <v>None</v>
      </c>
      <c r="I40" s="57">
        <v>0</v>
      </c>
      <c r="J40" s="57" t="str">
        <f t="shared" ref="J40:J49" si="4">IFERROR(VLOOKUP(H40,CornAdjuvants,4,FALSE),"")</f>
        <v>None</v>
      </c>
      <c r="K40" s="2"/>
      <c r="L40" s="2"/>
      <c r="M40" s="2"/>
      <c r="N40" s="2"/>
    </row>
    <row r="41" spans="2:14" ht="15.6">
      <c r="H41" s="2"/>
      <c r="I41" s="57"/>
      <c r="J41" s="57" t="str">
        <f t="shared" si="4"/>
        <v/>
      </c>
      <c r="K41" s="2"/>
      <c r="L41" s="2"/>
      <c r="M41" s="2"/>
      <c r="N41" s="2"/>
    </row>
    <row r="42" spans="2:14" ht="15.6">
      <c r="B42" s="799" t="s">
        <v>1032</v>
      </c>
      <c r="C42" s="799" t="s">
        <v>1024</v>
      </c>
      <c r="D42" s="799" t="s">
        <v>1025</v>
      </c>
      <c r="H42" s="2"/>
      <c r="I42" s="57"/>
      <c r="J42" s="57" t="str">
        <f t="shared" si="4"/>
        <v/>
      </c>
      <c r="K42" s="2"/>
      <c r="L42" s="2"/>
      <c r="M42" s="2"/>
      <c r="N42" s="2"/>
    </row>
    <row r="43" spans="2:14" ht="15.6">
      <c r="B43" t="str">
        <f>'Chemical Plan'!K6</f>
        <v>None</v>
      </c>
      <c r="C43" s="3">
        <f>'Chemical Plan'!P6/VLOOKUP(B43,CornPreChemicals,3,FALSE)*$F$3</f>
        <v>0</v>
      </c>
      <c r="D43" s="4" t="str">
        <f>VLOOKUP(B43,CornPreChemicals,4,FALSE)</f>
        <v>None</v>
      </c>
      <c r="H43" s="2"/>
      <c r="I43" s="57"/>
      <c r="J43" s="57" t="str">
        <f t="shared" si="4"/>
        <v/>
      </c>
      <c r="K43" s="2"/>
      <c r="L43" s="2"/>
      <c r="M43" s="2"/>
      <c r="N43" s="2"/>
    </row>
    <row r="44" spans="2:14" ht="15.6">
      <c r="B44" t="str">
        <f>'Chemical Plan'!K7</f>
        <v>None</v>
      </c>
      <c r="C44" s="3">
        <f>'Chemical Plan'!P7/VLOOKUP(B44,CornPreChemicals,3,FALSE)*$F$3</f>
        <v>0</v>
      </c>
      <c r="D44" s="4" t="str">
        <f>VLOOKUP(B44,CornPreChemicals,4,FALSE)</f>
        <v>None</v>
      </c>
      <c r="H44" s="2"/>
      <c r="I44" s="57"/>
      <c r="J44" s="57" t="str">
        <f t="shared" si="4"/>
        <v/>
      </c>
      <c r="K44" s="2"/>
      <c r="L44" s="2"/>
      <c r="M44" s="2"/>
      <c r="N44" s="2"/>
    </row>
    <row r="45" spans="2:14" ht="15.6">
      <c r="B45" t="str">
        <f>'Chemical Plan'!K8</f>
        <v>None</v>
      </c>
      <c r="C45" s="3">
        <f>'Chemical Plan'!P8/VLOOKUP(B45,CornPreChemicals,3,FALSE)*$F$3</f>
        <v>0</v>
      </c>
      <c r="D45" s="4" t="str">
        <f>VLOOKUP(B45,CornPreChemicals,4,FALSE)</f>
        <v>None</v>
      </c>
      <c r="H45" s="2"/>
      <c r="I45" s="57"/>
      <c r="J45" s="57" t="str">
        <f t="shared" si="4"/>
        <v/>
      </c>
      <c r="K45" s="2"/>
      <c r="L45" s="2"/>
      <c r="M45" s="2"/>
      <c r="N45" s="2"/>
    </row>
    <row r="46" spans="2:14" ht="15.6">
      <c r="B46" t="str">
        <f>'Chemical Plan'!K10</f>
        <v>None</v>
      </c>
      <c r="C46" s="3">
        <f>'Chemical Plan'!P10/VLOOKUP(B46,CornPreChemicals,3,FALSE)*$F$3</f>
        <v>0</v>
      </c>
      <c r="D46" s="4" t="str">
        <f>VLOOKUP(B46,CornPreChemicals,4,FALSE)</f>
        <v>None</v>
      </c>
      <c r="H46" s="2"/>
      <c r="I46" s="57"/>
      <c r="J46" s="57" t="str">
        <f t="shared" si="4"/>
        <v/>
      </c>
      <c r="K46" s="2"/>
      <c r="L46" s="2"/>
      <c r="M46" s="2"/>
      <c r="N46" s="2"/>
    </row>
    <row r="47" spans="2:14" ht="15.6">
      <c r="B47" t="str">
        <f>'Chemical Plan'!K11</f>
        <v>None</v>
      </c>
      <c r="C47" s="3">
        <f>'Chemical Plan'!P11/VLOOKUP(B47,CornPreChemicals,3,FALSE)*$F$3</f>
        <v>0</v>
      </c>
      <c r="D47" s="4" t="str">
        <f>VLOOKUP(B47,CornPreChemicals,4,FALSE)</f>
        <v>None</v>
      </c>
      <c r="H47" s="2"/>
      <c r="I47" s="57"/>
      <c r="J47" s="57" t="str">
        <f t="shared" si="4"/>
        <v/>
      </c>
      <c r="K47" s="2"/>
      <c r="L47" s="2"/>
      <c r="M47" s="2"/>
      <c r="N47" s="2"/>
    </row>
    <row r="48" spans="2:14" ht="15.6">
      <c r="H48" s="2"/>
      <c r="I48" s="57"/>
      <c r="J48" s="57" t="str">
        <f t="shared" si="4"/>
        <v/>
      </c>
      <c r="K48" s="2"/>
      <c r="L48" s="2"/>
      <c r="M48" s="2"/>
      <c r="N48" s="2"/>
    </row>
    <row r="49" spans="2:10">
      <c r="B49" s="799" t="s">
        <v>1033</v>
      </c>
      <c r="C49" s="799" t="s">
        <v>1024</v>
      </c>
      <c r="D49" s="799" t="s">
        <v>1025</v>
      </c>
      <c r="I49" s="4"/>
      <c r="J49" s="4" t="str">
        <f t="shared" si="4"/>
        <v/>
      </c>
    </row>
    <row r="50" spans="2:10">
      <c r="B50" t="str">
        <f>'Chemical Plan'!K26</f>
        <v>None</v>
      </c>
      <c r="C50" s="3">
        <f>'Chemical Plan'!P26/VLOOKUP(B50,CornPostChemicals,3,FALSE)*$F$3</f>
        <v>0</v>
      </c>
      <c r="D50" s="4" t="str">
        <f>VLOOKUP(B50,CornPostChemicals,4,FALSE)</f>
        <v>None</v>
      </c>
    </row>
    <row r="51" spans="2:10">
      <c r="B51" t="str">
        <f>'Chemical Plan'!K27</f>
        <v>None</v>
      </c>
      <c r="C51" s="3">
        <f>'Chemical Plan'!P27/VLOOKUP(B51,CornPostChemicals,3,FALSE)*$F$3</f>
        <v>0</v>
      </c>
      <c r="D51" s="4" t="str">
        <f>VLOOKUP(B51,CornPostChemicals,4,FALSE)</f>
        <v>None</v>
      </c>
    </row>
    <row r="52" spans="2:10">
      <c r="B52" t="str">
        <f>'Chemical Plan'!K28</f>
        <v>None</v>
      </c>
      <c r="C52" s="3">
        <f>'Chemical Plan'!P28/VLOOKUP(B52,CornPostChemicals,3,FALSE)*$F$3</f>
        <v>0</v>
      </c>
      <c r="D52" s="4" t="str">
        <f>VLOOKUP(B52,CornPostChemicals,4,FALSE)</f>
        <v>None</v>
      </c>
    </row>
    <row r="53" spans="2:10">
      <c r="B53" t="str">
        <f>'Chemical Plan'!K30</f>
        <v>None</v>
      </c>
      <c r="C53" s="3">
        <f>'Chemical Plan'!P30/VLOOKUP(B53,CornPostChemicals,3,FALSE)*$F$3</f>
        <v>0</v>
      </c>
      <c r="D53" s="4" t="str">
        <f>VLOOKUP(B53,CornPostChemicals,4,FALSE)</f>
        <v>None</v>
      </c>
    </row>
    <row r="54" spans="2:10">
      <c r="B54" t="str">
        <f>'Chemical Plan'!K31</f>
        <v>None</v>
      </c>
      <c r="C54" s="3">
        <f>'Chemical Plan'!P31/VLOOKUP(B54,CornPostChemicals,3,FALSE)*$F$3</f>
        <v>0</v>
      </c>
      <c r="D54" s="4" t="str">
        <f>VLOOKUP(B54,CornPostChemicals,4,FALSE)</f>
        <v>None</v>
      </c>
    </row>
    <row r="56" spans="2:10">
      <c r="B56" s="799" t="s">
        <v>1034</v>
      </c>
      <c r="C56" s="799" t="s">
        <v>1024</v>
      </c>
      <c r="D56" s="799" t="s">
        <v>1025</v>
      </c>
    </row>
    <row r="57" spans="2:10">
      <c r="B57" t="str">
        <f>'Chemical Plan'!K48</f>
        <v>None</v>
      </c>
      <c r="C57" s="3">
        <f>'Chemical Plan'!P48/VLOOKUP(B57,CornFungicides,3,FALSE)*$F$3</f>
        <v>0</v>
      </c>
      <c r="D57" s="4" t="str">
        <f>VLOOKUP(B57,CornFungicides,4,FALSE)</f>
        <v>None</v>
      </c>
    </row>
    <row r="58" spans="2:10">
      <c r="B58" t="str">
        <f>'Chemical Plan'!K49</f>
        <v>None</v>
      </c>
      <c r="C58" s="3">
        <f>'Chemical Plan'!P49/VLOOKUP(B58,CornFungicides,3,FALSE)*$F$3</f>
        <v>0</v>
      </c>
      <c r="D58" s="4" t="str">
        <f>VLOOKUP(B58,CornFungicides,4,FALSE)</f>
        <v>None</v>
      </c>
    </row>
    <row r="59" spans="2:10">
      <c r="B59" t="str">
        <f>'Chemical Plan'!K50</f>
        <v>None</v>
      </c>
      <c r="C59" s="3">
        <f>'Chemical Plan'!P50/VLOOKUP(B59,CornFungicides,3,FALSE)*$F$3</f>
        <v>0</v>
      </c>
      <c r="D59" s="4" t="str">
        <f>VLOOKUP(B59,CornFungicides,4,FALSE)</f>
        <v>None</v>
      </c>
    </row>
    <row r="60" spans="2:10">
      <c r="B60" t="str">
        <f>'Chemical Plan'!K51</f>
        <v>None</v>
      </c>
      <c r="C60" s="3">
        <f>'Chemical Plan'!P51/VLOOKUP(B60,CornFungicides,3,FALSE)*$F$3</f>
        <v>0</v>
      </c>
      <c r="D60" s="4" t="str">
        <f>VLOOKUP(B60,CornFungicides,4,FALSE)</f>
        <v>None</v>
      </c>
    </row>
    <row r="61" spans="2:10">
      <c r="B61" t="str">
        <f>'Chemical Plan'!K52</f>
        <v>None</v>
      </c>
      <c r="C61" s="3">
        <f>'Chemical Plan'!P52/VLOOKUP(B61,CornFungicides,3,FALSE)*$F$3</f>
        <v>0</v>
      </c>
      <c r="D61" s="4" t="str">
        <f>VLOOKUP(B61,CornFungicides,4,FALSE)</f>
        <v>None</v>
      </c>
    </row>
    <row r="63" spans="2:10">
      <c r="B63" s="799" t="s">
        <v>1035</v>
      </c>
      <c r="C63" s="799" t="s">
        <v>1024</v>
      </c>
      <c r="D63" s="799" t="s">
        <v>1025</v>
      </c>
    </row>
    <row r="64" spans="2:10">
      <c r="B64" t="str">
        <f>'Chemical Plan'!K66</f>
        <v>None</v>
      </c>
      <c r="C64" s="3">
        <f>'Chemical Plan'!P66/VLOOKUP(B64,CornInsecticides,3,FALSE)*$F$3</f>
        <v>0</v>
      </c>
      <c r="D64" s="4" t="str">
        <f>VLOOKUP(B64,CornInsecticides,4,FALSE)</f>
        <v>None</v>
      </c>
    </row>
    <row r="65" spans="2:4">
      <c r="B65" t="str">
        <f>'Chemical Plan'!K67</f>
        <v>None</v>
      </c>
      <c r="C65" s="3">
        <f>'Chemical Plan'!P67/VLOOKUP(B65,CornInsecticides,3,FALSE)*$F$3</f>
        <v>0</v>
      </c>
      <c r="D65" s="4" t="str">
        <f>VLOOKUP(B65,CornInsecticides,4,FALSE)</f>
        <v>None</v>
      </c>
    </row>
    <row r="66" spans="2:4">
      <c r="B66" t="str">
        <f>'Chemical Plan'!K68</f>
        <v>None</v>
      </c>
      <c r="C66" s="3">
        <f>'Chemical Plan'!P68/VLOOKUP(B66,CornInsecticides,3,FALSE)*$F$3</f>
        <v>0</v>
      </c>
      <c r="D66" s="4" t="str">
        <f>VLOOKUP(B66,CornInsecticides,4,FALSE)</f>
        <v>None</v>
      </c>
    </row>
    <row r="67" spans="2:4">
      <c r="B67" t="str">
        <f>'Chemical Plan'!K69</f>
        <v>None</v>
      </c>
      <c r="C67" s="3">
        <f>'Chemical Plan'!P69/VLOOKUP(B67,CornInsecticides,3,FALSE)*$F$3</f>
        <v>0</v>
      </c>
      <c r="D67" s="4" t="str">
        <f>VLOOKUP(B67,CornInsecticides,4,FALSE)</f>
        <v>None</v>
      </c>
    </row>
    <row r="68" spans="2:4">
      <c r="B68" t="str">
        <f>'Chemical Plan'!K70</f>
        <v>None</v>
      </c>
      <c r="C68" s="3">
        <f>'Chemical Plan'!P70/VLOOKUP(B68,CornInsecticides,3,FALSE)*$F$3</f>
        <v>0</v>
      </c>
      <c r="D68" s="4" t="str">
        <f>VLOOKUP(B68,CornInsecticides,4,FALSE)</f>
        <v>None</v>
      </c>
    </row>
    <row r="70" spans="2:4">
      <c r="B70" s="799" t="s">
        <v>1036</v>
      </c>
      <c r="C70" s="799" t="s">
        <v>1024</v>
      </c>
      <c r="D70" s="799" t="s">
        <v>1025</v>
      </c>
    </row>
    <row r="71" spans="2:4">
      <c r="B71" t="str">
        <f>'Chemical Plan'!K14</f>
        <v>None</v>
      </c>
      <c r="C71" s="3">
        <f>'Chemical Plan'!P14/VLOOKUP(B71,CornAdjuvants,3,FALSE)*$F$3</f>
        <v>0</v>
      </c>
      <c r="D71" s="4" t="str">
        <f t="shared" ref="D71:D90" si="5">VLOOKUP(B71,CornAdjuvants,4,FALSE)</f>
        <v>None</v>
      </c>
    </row>
    <row r="72" spans="2:4">
      <c r="B72" t="str">
        <f>'Chemical Plan'!K15</f>
        <v>None</v>
      </c>
      <c r="C72" s="3">
        <f>'Chemical Plan'!P15/VLOOKUP(B72,CornAdjuvants,3,FALSE)*$F$3</f>
        <v>0</v>
      </c>
      <c r="D72" s="4" t="str">
        <f t="shared" si="5"/>
        <v>None</v>
      </c>
    </row>
    <row r="73" spans="2:4">
      <c r="B73" t="str">
        <f>'Chemical Plan'!K16</f>
        <v>None</v>
      </c>
      <c r="C73" s="3">
        <f>'Chemical Plan'!P16/VLOOKUP(B73,CornAdjuvants,3,FALSE)*$F$3</f>
        <v>0</v>
      </c>
      <c r="D73" s="4" t="str">
        <f t="shared" si="5"/>
        <v>None</v>
      </c>
    </row>
    <row r="74" spans="2:4">
      <c r="B74" t="str">
        <f>'Chemical Plan'!K17</f>
        <v>None</v>
      </c>
      <c r="C74" s="3">
        <f>'Chemical Plan'!P17/VLOOKUP(B74,CornAdjuvants,3,FALSE)*$F$3</f>
        <v>0</v>
      </c>
      <c r="D74" s="4" t="str">
        <f t="shared" si="5"/>
        <v>None</v>
      </c>
    </row>
    <row r="75" spans="2:4">
      <c r="B75" t="str">
        <f>'Chemical Plan'!K18</f>
        <v>None</v>
      </c>
      <c r="C75" s="3">
        <f>'Chemical Plan'!P18/VLOOKUP(B75,CornAdjuvants,3,FALSE)*$F$3</f>
        <v>0</v>
      </c>
      <c r="D75" s="4" t="str">
        <f t="shared" si="5"/>
        <v>None</v>
      </c>
    </row>
    <row r="76" spans="2:4">
      <c r="B76" t="str">
        <f>'Chemical Plan'!K35</f>
        <v>None</v>
      </c>
      <c r="C76" s="3">
        <f>'Chemical Plan'!P35/VLOOKUP(B76,CornAdjuvants,3,FALSE)*$F$3</f>
        <v>0</v>
      </c>
      <c r="D76" s="4" t="str">
        <f t="shared" si="5"/>
        <v>None</v>
      </c>
    </row>
    <row r="77" spans="2:4">
      <c r="B77" t="str">
        <f>'Chemical Plan'!K36</f>
        <v>None</v>
      </c>
      <c r="C77" s="3">
        <f>'Chemical Plan'!P36/VLOOKUP(B77,CornAdjuvants,3,FALSE)*$F$3</f>
        <v>0</v>
      </c>
      <c r="D77" s="4" t="str">
        <f t="shared" si="5"/>
        <v>None</v>
      </c>
    </row>
    <row r="78" spans="2:4">
      <c r="B78" t="str">
        <f>'Chemical Plan'!K37</f>
        <v>None</v>
      </c>
      <c r="C78" s="3">
        <f>'Chemical Plan'!P37/VLOOKUP(B78,CornAdjuvants,3,FALSE)*$F$3</f>
        <v>0</v>
      </c>
      <c r="D78" s="4" t="str">
        <f t="shared" si="5"/>
        <v>None</v>
      </c>
    </row>
    <row r="79" spans="2:4">
      <c r="B79" t="str">
        <f>'Chemical Plan'!K38</f>
        <v>None</v>
      </c>
      <c r="C79" s="3">
        <f>'Chemical Plan'!P38/VLOOKUP(B79,CornAdjuvants,3,FALSE)*$F$3</f>
        <v>0</v>
      </c>
      <c r="D79" s="4" t="str">
        <f t="shared" si="5"/>
        <v>None</v>
      </c>
    </row>
    <row r="80" spans="2:4">
      <c r="B80" t="str">
        <f>'Chemical Plan'!K39</f>
        <v>None</v>
      </c>
      <c r="C80" s="3">
        <f>'Chemical Plan'!P39/VLOOKUP(B80,CornAdjuvants,3,FALSE)*$F$3</f>
        <v>0</v>
      </c>
      <c r="D80" s="4" t="str">
        <f t="shared" si="5"/>
        <v>None</v>
      </c>
    </row>
    <row r="81" spans="2:4">
      <c r="B81" t="str">
        <f>'Chemical Plan'!K55</f>
        <v>None</v>
      </c>
      <c r="C81" s="3">
        <f>'Chemical Plan'!P55/VLOOKUP(B81,CornAdjuvants,3,FALSE)*$F$3</f>
        <v>0</v>
      </c>
      <c r="D81" s="4" t="str">
        <f t="shared" si="5"/>
        <v>None</v>
      </c>
    </row>
    <row r="82" spans="2:4">
      <c r="B82" t="str">
        <f>'Chemical Plan'!K56</f>
        <v>None</v>
      </c>
      <c r="C82" s="3">
        <f>'Chemical Plan'!P56/VLOOKUP(B82,CornAdjuvants,3,FALSE)*$F$3</f>
        <v>0</v>
      </c>
      <c r="D82" s="4" t="str">
        <f t="shared" si="5"/>
        <v>None</v>
      </c>
    </row>
    <row r="83" spans="2:4">
      <c r="B83" t="str">
        <f>'Chemical Plan'!K57</f>
        <v>None</v>
      </c>
      <c r="C83" s="3">
        <f>'Chemical Plan'!P57/VLOOKUP(B83,CornAdjuvants,3,FALSE)*$F$3</f>
        <v>0</v>
      </c>
      <c r="D83" s="4" t="str">
        <f t="shared" si="5"/>
        <v>None</v>
      </c>
    </row>
    <row r="84" spans="2:4">
      <c r="B84" t="str">
        <f>'Chemical Plan'!K58</f>
        <v>None</v>
      </c>
      <c r="C84" s="3">
        <f>'Chemical Plan'!P58/VLOOKUP(B84,CornAdjuvants,3,FALSE)*$F$3</f>
        <v>0</v>
      </c>
      <c r="D84" s="4" t="str">
        <f t="shared" si="5"/>
        <v>None</v>
      </c>
    </row>
    <row r="85" spans="2:4">
      <c r="B85" t="str">
        <f>'Chemical Plan'!K59</f>
        <v>None</v>
      </c>
      <c r="C85" s="3">
        <f>'Chemical Plan'!P59/VLOOKUP(B85,CornAdjuvants,3,FALSE)*$F$3</f>
        <v>0</v>
      </c>
      <c r="D85" s="4" t="str">
        <f t="shared" si="5"/>
        <v>None</v>
      </c>
    </row>
    <row r="86" spans="2:4">
      <c r="B86" t="str">
        <f>'Chemical Plan'!K73</f>
        <v>None</v>
      </c>
      <c r="C86" s="3">
        <f>'Chemical Plan'!P73/VLOOKUP(B86,CornAdjuvants,3,FALSE)*$F$3</f>
        <v>0</v>
      </c>
      <c r="D86" s="4" t="str">
        <f t="shared" si="5"/>
        <v>None</v>
      </c>
    </row>
    <row r="87" spans="2:4">
      <c r="B87" t="str">
        <f>'Chemical Plan'!K74</f>
        <v>None</v>
      </c>
      <c r="C87" s="3">
        <f>'Chemical Plan'!P74/VLOOKUP(B87,CornAdjuvants,3,FALSE)*$F$3</f>
        <v>0</v>
      </c>
      <c r="D87" s="4" t="str">
        <f t="shared" si="5"/>
        <v>None</v>
      </c>
    </row>
    <row r="88" spans="2:4">
      <c r="B88" t="str">
        <f>'Chemical Plan'!K75</f>
        <v>None</v>
      </c>
      <c r="C88" s="3">
        <f>'Chemical Plan'!P75/VLOOKUP(B88,CornAdjuvants,3,FALSE)*$F$3</f>
        <v>0</v>
      </c>
      <c r="D88" s="4" t="str">
        <f t="shared" si="5"/>
        <v>None</v>
      </c>
    </row>
    <row r="89" spans="2:4">
      <c r="B89" t="str">
        <f>'Chemical Plan'!K76</f>
        <v>None</v>
      </c>
      <c r="C89" s="3">
        <f>'Chemical Plan'!P76/VLOOKUP(B89,CornAdjuvants,3,FALSE)*$F$3</f>
        <v>0</v>
      </c>
      <c r="D89" s="4" t="str">
        <f t="shared" si="5"/>
        <v>None</v>
      </c>
    </row>
    <row r="90" spans="2:4">
      <c r="B90" t="str">
        <f>'Chemical Plan'!K77</f>
        <v>None</v>
      </c>
      <c r="C90" s="3">
        <f>'Chemical Plan'!P77/VLOOKUP(B90,CornAdjuvants,3,FALSE)*$F$3</f>
        <v>0</v>
      </c>
      <c r="D90" s="4" t="str">
        <f t="shared" si="5"/>
        <v>None</v>
      </c>
    </row>
  </sheetData>
  <sheetProtection algorithmName="SHA-512" hashValue="r3jCLSD8LpoE4CZB1Hz6mJAyTlPf32N5jRnny5VqIa+mBva3uqRem6e8+Vi10muYprgYOqALvfBhvJUIIUIo0A==" saltValue="FwZluIrMVQp0+Ts/IU18JA==" spinCount="100000" sheet="1" objects="1" scenarios="1"/>
  <mergeCells count="3">
    <mergeCell ref="B1:D1"/>
    <mergeCell ref="H1:N1"/>
    <mergeCell ref="H23:N23"/>
  </mergeCells>
  <conditionalFormatting sqref="H4:N70">
    <cfRule type="cellIs" dxfId="3" priority="1" operator="equal">
      <formula>0</formula>
    </cfRule>
    <cfRule type="cellIs" dxfId="2" priority="2" operator="equal">
      <formula>"None"</formula>
    </cfRule>
  </conditionalFormatting>
  <printOptions horizontalCentered="1" verticalCentered="1"/>
  <pageMargins left="0.7" right="0.7" top="0.75" bottom="0.75" header="0.3" footer="0.3"/>
  <pageSetup scale="66" orientation="landscape"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B8ECC-8037-45EA-98CA-6E42F89E540E}">
  <sheetPr>
    <pageSetUpPr fitToPage="1"/>
  </sheetPr>
  <dimension ref="A1:N90"/>
  <sheetViews>
    <sheetView topLeftCell="G1" zoomScaleNormal="100" workbookViewId="0">
      <selection activeCell="F28" sqref="A1:F1048576"/>
    </sheetView>
  </sheetViews>
  <sheetFormatPr defaultRowHeight="14.4"/>
  <cols>
    <col min="1" max="1" width="9.109375" hidden="1" customWidth="1"/>
    <col min="2" max="2" width="41.33203125" hidden="1" customWidth="1"/>
    <col min="3" max="3" width="17.44140625" hidden="1" customWidth="1"/>
    <col min="4" max="4" width="12" hidden="1" customWidth="1"/>
    <col min="5" max="6" width="9.109375" hidden="1" customWidth="1"/>
    <col min="8" max="8" width="42.33203125" bestFit="1" customWidth="1"/>
    <col min="9" max="9" width="19.44140625" bestFit="1" customWidth="1"/>
    <col min="10" max="10" width="13.6640625" bestFit="1" customWidth="1"/>
    <col min="11" max="11" width="12.109375" customWidth="1"/>
    <col min="12" max="12" width="32.109375" bestFit="1" customWidth="1"/>
    <col min="13" max="13" width="19.44140625" bestFit="1" customWidth="1"/>
    <col min="14" max="14" width="13.6640625" bestFit="1" customWidth="1"/>
  </cols>
  <sheetData>
    <row r="1" spans="2:14" ht="21">
      <c r="B1" s="1020" t="s">
        <v>1026</v>
      </c>
      <c r="C1" s="1021"/>
      <c r="D1" s="1021"/>
      <c r="H1" s="1019" t="s">
        <v>1039</v>
      </c>
      <c r="I1" s="909"/>
      <c r="J1" s="909"/>
      <c r="K1" s="909"/>
      <c r="L1" s="909"/>
      <c r="M1" s="909"/>
      <c r="N1" s="909"/>
    </row>
    <row r="2" spans="2:14" ht="15.6">
      <c r="F2" s="4" t="s">
        <v>122</v>
      </c>
      <c r="H2" s="2"/>
      <c r="I2" s="2"/>
      <c r="J2" s="2"/>
      <c r="K2" s="2"/>
      <c r="L2" s="2"/>
      <c r="M2" s="2"/>
      <c r="N2" s="2"/>
    </row>
    <row r="3" spans="2:14" ht="15.6">
      <c r="B3" s="799" t="s">
        <v>1027</v>
      </c>
      <c r="C3" s="799" t="s">
        <v>1024</v>
      </c>
      <c r="D3" s="799" t="s">
        <v>1025</v>
      </c>
      <c r="F3" s="4">
        <f>'Crop Budget (Main)'!K11</f>
        <v>1</v>
      </c>
      <c r="H3" s="132" t="s">
        <v>1</v>
      </c>
      <c r="I3" s="132" t="s">
        <v>1024</v>
      </c>
      <c r="J3" s="132" t="s">
        <v>1025</v>
      </c>
      <c r="K3" s="132"/>
      <c r="L3" s="132" t="s">
        <v>32</v>
      </c>
      <c r="M3" s="132" t="s">
        <v>1024</v>
      </c>
      <c r="N3" s="132" t="s">
        <v>1025</v>
      </c>
    </row>
    <row r="4" spans="2:14" ht="15.6">
      <c r="B4" s="798" t="str">
        <f>'Fertilizer Plan'!Y6</f>
        <v>None</v>
      </c>
      <c r="C4" s="79">
        <f>('Fertilizer Plan'!AC6*VLOOKUP(B4,Macronutrients,14,FALSE))/VLOOKUP(B4,Macronutrients,16,FALSE)*$F$3</f>
        <v>0</v>
      </c>
      <c r="D4" s="4" t="str">
        <f t="shared" ref="D4:D21" si="0">VLOOKUP(B4,Macronutrients,17,FALSE)</f>
        <v>None</v>
      </c>
      <c r="H4" s="800" t="str" cm="1">
        <f t="array" ref="H4:I4">_xlfn._xlws.SORT(_xlfn.LET(_xlpm.a,B4:B21,_xlpm.b,C4:C21,_xlfn.HSTACK(_xlfn.UNIQUE(_xlpm.a),SUMIFS(_xlpm.b,_xlpm.a,_xlfn.UNIQUE(_xlpm.a)))))</f>
        <v>None</v>
      </c>
      <c r="I4" s="801">
        <v>0</v>
      </c>
      <c r="J4" s="57" t="str">
        <f t="shared" ref="J4:J21" si="1">IFERROR(VLOOKUP(H4,Macronutrients,17,FALSE),"")</f>
        <v>None</v>
      </c>
      <c r="K4" s="57"/>
      <c r="L4" s="800" t="str" cm="1">
        <f t="array" ref="L4:M4">_xlfn.LET(_xlpm.a,B40,_xlpm.b,C40,_xlfn.HSTACK(_xlfn.UNIQUE(_xlpm.a),SUMIFS(_xlpm.b,_xlpm.a,_xlfn.UNIQUE(_xlpm.a))))</f>
        <v>None</v>
      </c>
      <c r="M4" s="57">
        <v>0</v>
      </c>
      <c r="N4" s="57" t="str">
        <f>IFERROR(VLOOKUP(L4,Lime,17,FALSE),"")</f>
        <v>None</v>
      </c>
    </row>
    <row r="5" spans="2:14" ht="15.6">
      <c r="B5" s="798" t="str">
        <f>'Fertilizer Plan'!Y7</f>
        <v>None</v>
      </c>
      <c r="C5" s="79">
        <f>('Fertilizer Plan'!AC7*VLOOKUP(B5,Macronutrients,14,FALSE))/VLOOKUP(B5,Macronutrients,16,FALSE)*$F$3</f>
        <v>0</v>
      </c>
      <c r="D5" s="4" t="str">
        <f t="shared" si="0"/>
        <v>None</v>
      </c>
      <c r="H5" s="2"/>
      <c r="I5" s="801"/>
      <c r="J5" s="57" t="str">
        <f t="shared" si="1"/>
        <v/>
      </c>
      <c r="K5" s="57"/>
      <c r="L5" s="2"/>
      <c r="M5" s="2"/>
      <c r="N5" s="2"/>
    </row>
    <row r="6" spans="2:14" ht="15.6">
      <c r="B6" s="798" t="str">
        <f>'Fertilizer Plan'!Y8</f>
        <v>None</v>
      </c>
      <c r="C6" s="79">
        <f>('Fertilizer Plan'!AC8*VLOOKUP(B6,Macronutrients,14,FALSE))/VLOOKUP(B6,Macronutrients,16,FALSE)*$F$3</f>
        <v>0</v>
      </c>
      <c r="D6" s="4" t="str">
        <f t="shared" si="0"/>
        <v>None</v>
      </c>
      <c r="H6" s="2"/>
      <c r="I6" s="801"/>
      <c r="J6" s="57" t="str">
        <f t="shared" si="1"/>
        <v/>
      </c>
      <c r="K6" s="57"/>
      <c r="L6" s="132" t="s">
        <v>27</v>
      </c>
      <c r="M6" s="132" t="s">
        <v>1024</v>
      </c>
      <c r="N6" s="132" t="s">
        <v>1025</v>
      </c>
    </row>
    <row r="7" spans="2:14" ht="15.6">
      <c r="B7" s="798" t="str">
        <f>'Fertilizer Plan'!Y9</f>
        <v>None</v>
      </c>
      <c r="C7" s="79">
        <f>('Fertilizer Plan'!AC9*VLOOKUP(B7,Macronutrients,14,FALSE))/VLOOKUP(B7,Macronutrients,16,FALSE)*$F$3</f>
        <v>0</v>
      </c>
      <c r="D7" s="4" t="str">
        <f t="shared" si="0"/>
        <v>None</v>
      </c>
      <c r="H7" s="2"/>
      <c r="I7" s="801"/>
      <c r="J7" s="57" t="str">
        <f t="shared" si="1"/>
        <v/>
      </c>
      <c r="K7" s="57"/>
      <c r="L7" s="800" t="str" cm="1">
        <f t="array" ref="L7:M7">_xlfn._xlws.SORT(_xlfn.LET(_xlpm.a,B26:B37,_xlpm.b,C26:C37,_xlfn.HSTACK(_xlfn.UNIQUE(_xlpm.a),SUMIFS(_xlpm.b,_xlpm.a,_xlfn.UNIQUE(_xlpm.a)))))</f>
        <v>None</v>
      </c>
      <c r="M7" s="57">
        <v>0</v>
      </c>
      <c r="N7" s="57" t="str">
        <f t="shared" ref="N7:N18" si="2">IFERROR(VLOOKUP(L7,Micronutrients,17,FALSE),"")</f>
        <v>None</v>
      </c>
    </row>
    <row r="8" spans="2:14" ht="15.6">
      <c r="B8" s="798" t="str">
        <f>'Fertilizer Plan'!Y10</f>
        <v>None</v>
      </c>
      <c r="C8" s="79">
        <f>('Fertilizer Plan'!AC10*VLOOKUP(B8,Macronutrients,14,FALSE))/VLOOKUP(B8,Macronutrients,16,FALSE)*$F$3</f>
        <v>0</v>
      </c>
      <c r="D8" s="4" t="str">
        <f t="shared" si="0"/>
        <v>None</v>
      </c>
      <c r="H8" s="2"/>
      <c r="I8" s="801"/>
      <c r="J8" s="57" t="str">
        <f t="shared" si="1"/>
        <v/>
      </c>
      <c r="K8" s="57"/>
      <c r="L8" s="2"/>
      <c r="M8" s="57"/>
      <c r="N8" s="57" t="str">
        <f t="shared" si="2"/>
        <v/>
      </c>
    </row>
    <row r="9" spans="2:14" ht="15.6">
      <c r="B9" s="798" t="str">
        <f>'Fertilizer Plan'!Y11</f>
        <v>None</v>
      </c>
      <c r="C9" s="79">
        <f>('Fertilizer Plan'!AC11*VLOOKUP(B9,Macronutrients,14,FALSE))/VLOOKUP(B9,Macronutrients,16,FALSE)*$F$3</f>
        <v>0</v>
      </c>
      <c r="D9" s="4" t="str">
        <f t="shared" si="0"/>
        <v>None</v>
      </c>
      <c r="H9" s="2"/>
      <c r="I9" s="801"/>
      <c r="J9" s="57" t="str">
        <f t="shared" si="1"/>
        <v/>
      </c>
      <c r="K9" s="57"/>
      <c r="L9" s="2"/>
      <c r="M9" s="57"/>
      <c r="N9" s="57" t="str">
        <f t="shared" si="2"/>
        <v/>
      </c>
    </row>
    <row r="10" spans="2:14" ht="15.6">
      <c r="B10" s="798" t="str">
        <f>'Fertilizer Plan'!Y31</f>
        <v>None</v>
      </c>
      <c r="C10" s="79">
        <f>('Fertilizer Plan'!AC31*VLOOKUP(B10,Macronutrients,14,FALSE))/VLOOKUP(B10,Macronutrients,16,FALSE)*$F$3</f>
        <v>0</v>
      </c>
      <c r="D10" s="4" t="str">
        <f t="shared" si="0"/>
        <v>None</v>
      </c>
      <c r="H10" s="2"/>
      <c r="I10" s="801"/>
      <c r="J10" s="57" t="str">
        <f t="shared" si="1"/>
        <v/>
      </c>
      <c r="K10" s="57"/>
      <c r="L10" s="2"/>
      <c r="M10" s="57"/>
      <c r="N10" s="57" t="str">
        <f t="shared" si="2"/>
        <v/>
      </c>
    </row>
    <row r="11" spans="2:14" ht="15.6">
      <c r="B11" s="798" t="str">
        <f>'Fertilizer Plan'!Y32</f>
        <v>None</v>
      </c>
      <c r="C11" s="79">
        <f>('Fertilizer Plan'!AC32*VLOOKUP(B11,Macronutrients,14,FALSE))/VLOOKUP(B11,Macronutrients,16,FALSE)*$F$3</f>
        <v>0</v>
      </c>
      <c r="D11" s="4" t="str">
        <f t="shared" si="0"/>
        <v>None</v>
      </c>
      <c r="H11" s="2"/>
      <c r="I11" s="801"/>
      <c r="J11" s="57" t="str">
        <f t="shared" si="1"/>
        <v/>
      </c>
      <c r="K11" s="57"/>
      <c r="L11" s="2"/>
      <c r="M11" s="57"/>
      <c r="N11" s="57" t="str">
        <f t="shared" si="2"/>
        <v/>
      </c>
    </row>
    <row r="12" spans="2:14" ht="15.6">
      <c r="B12" s="798" t="str">
        <f>'Fertilizer Plan'!Y33</f>
        <v>None</v>
      </c>
      <c r="C12" s="79">
        <f>('Fertilizer Plan'!AC33*VLOOKUP(B12,Macronutrients,14,FALSE))/VLOOKUP(B12,Macronutrients,16,FALSE)*$F$3</f>
        <v>0</v>
      </c>
      <c r="D12" s="4" t="str">
        <f t="shared" si="0"/>
        <v>None</v>
      </c>
      <c r="H12" s="2"/>
      <c r="I12" s="801"/>
      <c r="J12" s="57" t="str">
        <f t="shared" si="1"/>
        <v/>
      </c>
      <c r="K12" s="57"/>
      <c r="L12" s="2"/>
      <c r="M12" s="57"/>
      <c r="N12" s="57" t="str">
        <f t="shared" si="2"/>
        <v/>
      </c>
    </row>
    <row r="13" spans="2:14" ht="15.6">
      <c r="B13" s="798" t="str">
        <f>'Fertilizer Plan'!Y34</f>
        <v>None</v>
      </c>
      <c r="C13" s="79">
        <f>('Fertilizer Plan'!AC34*VLOOKUP(B13,Macronutrients,14,FALSE))/VLOOKUP(B13,Macronutrients,16,FALSE)*$F$3</f>
        <v>0</v>
      </c>
      <c r="D13" s="4" t="str">
        <f t="shared" si="0"/>
        <v>None</v>
      </c>
      <c r="H13" s="2"/>
      <c r="I13" s="801"/>
      <c r="J13" s="57" t="str">
        <f t="shared" si="1"/>
        <v/>
      </c>
      <c r="K13" s="57"/>
      <c r="L13" s="2"/>
      <c r="M13" s="57"/>
      <c r="N13" s="57" t="str">
        <f t="shared" si="2"/>
        <v/>
      </c>
    </row>
    <row r="14" spans="2:14" ht="15.6">
      <c r="B14" s="798" t="str">
        <f>'Fertilizer Plan'!Y35</f>
        <v>None</v>
      </c>
      <c r="C14" s="79">
        <f>('Fertilizer Plan'!AC35*VLOOKUP(B14,Macronutrients,14,FALSE))/VLOOKUP(B14,Macronutrients,16,FALSE)*$F$3</f>
        <v>0</v>
      </c>
      <c r="D14" s="4" t="str">
        <f t="shared" si="0"/>
        <v>None</v>
      </c>
      <c r="H14" s="2"/>
      <c r="I14" s="801"/>
      <c r="J14" s="57" t="str">
        <f t="shared" si="1"/>
        <v/>
      </c>
      <c r="K14" s="57"/>
      <c r="L14" s="2"/>
      <c r="M14" s="57"/>
      <c r="N14" s="57" t="str">
        <f t="shared" si="2"/>
        <v/>
      </c>
    </row>
    <row r="15" spans="2:14" ht="15.6">
      <c r="B15" s="798" t="str">
        <f>'Fertilizer Plan'!Y36</f>
        <v>None</v>
      </c>
      <c r="C15" s="79">
        <f>('Fertilizer Plan'!AC36*VLOOKUP(B15,Macronutrients,14,FALSE))/VLOOKUP(B15,Macronutrients,16,FALSE)*$F$3</f>
        <v>0</v>
      </c>
      <c r="D15" s="4" t="str">
        <f t="shared" si="0"/>
        <v>None</v>
      </c>
      <c r="H15" s="2"/>
      <c r="I15" s="801"/>
      <c r="J15" s="57" t="str">
        <f t="shared" si="1"/>
        <v/>
      </c>
      <c r="K15" s="57"/>
      <c r="L15" s="2"/>
      <c r="M15" s="57"/>
      <c r="N15" s="57" t="str">
        <f t="shared" si="2"/>
        <v/>
      </c>
    </row>
    <row r="16" spans="2:14" ht="15.6">
      <c r="B16" s="798" t="str">
        <f>'Fertilizer Plan'!Y53</f>
        <v>None</v>
      </c>
      <c r="C16" s="79">
        <f>('Fertilizer Plan'!AC53*VLOOKUP(B16,Macronutrients,14,FALSE))/VLOOKUP(B16,Macronutrients,16,FALSE)*$F$3</f>
        <v>0</v>
      </c>
      <c r="D16" s="4" t="str">
        <f t="shared" si="0"/>
        <v>None</v>
      </c>
      <c r="H16" s="2"/>
      <c r="I16" s="801"/>
      <c r="J16" s="57" t="str">
        <f t="shared" si="1"/>
        <v/>
      </c>
      <c r="K16" s="57"/>
      <c r="L16" s="2"/>
      <c r="M16" s="57"/>
      <c r="N16" s="57" t="str">
        <f t="shared" si="2"/>
        <v/>
      </c>
    </row>
    <row r="17" spans="2:14" ht="15.6">
      <c r="B17" s="798" t="str">
        <f>'Fertilizer Plan'!Y54</f>
        <v>None</v>
      </c>
      <c r="C17" s="79">
        <f>('Fertilizer Plan'!AC54*VLOOKUP(B17,Macronutrients,14,FALSE))/VLOOKUP(B17,Macronutrients,16,FALSE)*$F$3</f>
        <v>0</v>
      </c>
      <c r="D17" s="4" t="str">
        <f t="shared" si="0"/>
        <v>None</v>
      </c>
      <c r="H17" s="2"/>
      <c r="I17" s="801"/>
      <c r="J17" s="57" t="str">
        <f t="shared" si="1"/>
        <v/>
      </c>
      <c r="K17" s="57"/>
      <c r="L17" s="2"/>
      <c r="M17" s="57"/>
      <c r="N17" s="57" t="str">
        <f t="shared" si="2"/>
        <v/>
      </c>
    </row>
    <row r="18" spans="2:14" ht="15.6">
      <c r="B18" s="798" t="str">
        <f>'Fertilizer Plan'!Y55</f>
        <v>None</v>
      </c>
      <c r="C18" s="79">
        <f>('Fertilizer Plan'!AC55*VLOOKUP(B18,Macronutrients,14,FALSE))/VLOOKUP(B18,Macronutrients,16,FALSE)*$F$3</f>
        <v>0</v>
      </c>
      <c r="D18" s="4" t="str">
        <f t="shared" si="0"/>
        <v>None</v>
      </c>
      <c r="H18" s="2"/>
      <c r="I18" s="801"/>
      <c r="J18" s="57" t="str">
        <f t="shared" si="1"/>
        <v/>
      </c>
      <c r="K18" s="57"/>
      <c r="L18" s="2"/>
      <c r="M18" s="57"/>
      <c r="N18" s="57" t="str">
        <f t="shared" si="2"/>
        <v/>
      </c>
    </row>
    <row r="19" spans="2:14" ht="15.6">
      <c r="B19" s="798" t="str">
        <f>'Fertilizer Plan'!Y56</f>
        <v>None</v>
      </c>
      <c r="C19" s="79">
        <f>('Fertilizer Plan'!AC56*VLOOKUP(B19,Macronutrients,14,FALSE))/VLOOKUP(B19,Macronutrients,16,FALSE)*$F$3</f>
        <v>0</v>
      </c>
      <c r="D19" s="4" t="str">
        <f t="shared" si="0"/>
        <v>None</v>
      </c>
      <c r="H19" s="2"/>
      <c r="I19" s="801"/>
      <c r="J19" s="57" t="str">
        <f t="shared" si="1"/>
        <v/>
      </c>
      <c r="K19" s="57"/>
      <c r="L19" s="2"/>
      <c r="M19" s="57"/>
      <c r="N19" s="57"/>
    </row>
    <row r="20" spans="2:14" ht="15.6">
      <c r="B20" s="798" t="str">
        <f>'Fertilizer Plan'!Y57</f>
        <v>None</v>
      </c>
      <c r="C20" s="79">
        <f>('Fertilizer Plan'!AC57*VLOOKUP(B20,Macronutrients,14,FALSE))/VLOOKUP(B20,Macronutrients,16,FALSE)*$F$3</f>
        <v>0</v>
      </c>
      <c r="D20" s="4" t="str">
        <f t="shared" si="0"/>
        <v>None</v>
      </c>
      <c r="H20" s="2"/>
      <c r="I20" s="801"/>
      <c r="J20" s="57" t="str">
        <f t="shared" si="1"/>
        <v/>
      </c>
      <c r="K20" s="57"/>
      <c r="L20" s="2"/>
      <c r="M20" s="57"/>
      <c r="N20" s="57"/>
    </row>
    <row r="21" spans="2:14" ht="15.6">
      <c r="B21" s="798" t="str">
        <f>'Fertilizer Plan'!Y58</f>
        <v>None</v>
      </c>
      <c r="C21" s="79">
        <f>('Fertilizer Plan'!AC58*VLOOKUP(B21,Macronutrients,14,FALSE))/VLOOKUP(B21,Macronutrients,16,FALSE)*$F$3</f>
        <v>0</v>
      </c>
      <c r="D21" s="4" t="str">
        <f t="shared" si="0"/>
        <v>None</v>
      </c>
      <c r="H21" s="2"/>
      <c r="I21" s="801"/>
      <c r="J21" s="57" t="str">
        <f t="shared" si="1"/>
        <v/>
      </c>
      <c r="K21" s="57"/>
      <c r="L21" s="2"/>
      <c r="M21" s="57"/>
      <c r="N21" s="57"/>
    </row>
    <row r="22" spans="2:14" ht="15.6">
      <c r="B22" s="798"/>
      <c r="C22" s="79"/>
      <c r="D22" s="4"/>
      <c r="H22" s="2"/>
      <c r="I22" s="57"/>
      <c r="J22" s="57"/>
      <c r="K22" s="57"/>
      <c r="L22" s="2"/>
      <c r="M22" s="57"/>
      <c r="N22" s="57"/>
    </row>
    <row r="23" spans="2:14" ht="21">
      <c r="H23" s="1019" t="s">
        <v>1040</v>
      </c>
      <c r="I23" s="909"/>
      <c r="J23" s="909"/>
      <c r="K23" s="909"/>
      <c r="L23" s="909"/>
      <c r="M23" s="909"/>
      <c r="N23" s="909"/>
    </row>
    <row r="24" spans="2:14">
      <c r="M24" s="4"/>
      <c r="N24" s="4"/>
    </row>
    <row r="25" spans="2:14" ht="15.6">
      <c r="B25" s="799" t="s">
        <v>1028</v>
      </c>
      <c r="C25" s="799" t="s">
        <v>1024</v>
      </c>
      <c r="D25" s="799" t="s">
        <v>1025</v>
      </c>
      <c r="H25" s="132" t="s">
        <v>1037</v>
      </c>
      <c r="I25" s="132" t="s">
        <v>1024</v>
      </c>
      <c r="J25" s="132" t="s">
        <v>1025</v>
      </c>
      <c r="K25" s="2"/>
      <c r="L25" s="132" t="s">
        <v>123</v>
      </c>
      <c r="M25" s="132" t="s">
        <v>1024</v>
      </c>
      <c r="N25" s="132" t="s">
        <v>1025</v>
      </c>
    </row>
    <row r="26" spans="2:14" ht="15.6">
      <c r="B26" s="798" t="str">
        <f>'Fertilizer Plan'!Y14</f>
        <v>None</v>
      </c>
      <c r="C26" s="79">
        <f>('Fertilizer Plan'!AC14*VLOOKUP(B26,Micronutrients,14,FALSE))/VLOOKUP(B26,Micronutrients,16,FALSE)*$F$3</f>
        <v>0</v>
      </c>
      <c r="D26" s="4" t="str">
        <f t="shared" ref="D26:D37" si="3">VLOOKUP(B26,Micronutrients,17,FALSE)</f>
        <v>None</v>
      </c>
      <c r="H26" s="800" t="str" cm="1">
        <f t="array" ref="H26:I26">_xlfn._xlws.SORT(_xlfn.LET(_xlpm.a,B43:B47,_xlpm.b,C43:C47,_xlfn.HSTACK(_xlfn.UNIQUE(_xlpm.a),SUMIFS(_xlpm.b,_xlpm.a,_xlfn.UNIQUE(_xlpm.a)))))</f>
        <v>None</v>
      </c>
      <c r="I26" s="57">
        <v>0</v>
      </c>
      <c r="J26" s="57" t="str">
        <f>IFERROR(VLOOKUP(H26,CornPreChemicals,4,FALSE),"")</f>
        <v>None</v>
      </c>
      <c r="K26" s="2"/>
      <c r="L26" s="800" t="str" cm="1">
        <f t="array" ref="L26:M26">_xlfn._xlws.SORT(_xlfn.LET(_xlpm.a,B57:B61,_xlpm.b,C57:C61,_xlfn.HSTACK(_xlfn.UNIQUE(_xlpm.a),SUMIFS(_xlpm.b,_xlpm.a,_xlfn.UNIQUE(_xlpm.a)))))</f>
        <v>None</v>
      </c>
      <c r="M26" s="57">
        <v>0</v>
      </c>
      <c r="N26" s="57" t="str">
        <f>IFERROR(VLOOKUP(L26,CornFungicides,4,FALSE),"")</f>
        <v>None</v>
      </c>
    </row>
    <row r="27" spans="2:14" ht="15.6">
      <c r="B27" s="798" t="str">
        <f>'Fertilizer Plan'!Y15</f>
        <v>None</v>
      </c>
      <c r="C27" s="79">
        <f>('Fertilizer Plan'!AC15*VLOOKUP(B27,Micronutrients,14,FALSE))/VLOOKUP(B27,Micronutrients,16,FALSE)*$F$3</f>
        <v>0</v>
      </c>
      <c r="D27" s="4" t="str">
        <f t="shared" si="3"/>
        <v>None</v>
      </c>
      <c r="H27" s="2"/>
      <c r="I27" s="57"/>
      <c r="J27" s="57" t="str">
        <f>IFERROR(VLOOKUP(H27,CornPreChemicals,4,FALSE),"")</f>
        <v/>
      </c>
      <c r="K27" s="2"/>
      <c r="L27" s="2"/>
      <c r="M27" s="57"/>
      <c r="N27" s="57" t="str">
        <f>IFERROR(VLOOKUP(L27,CornFungicides,4,FALSE),"")</f>
        <v/>
      </c>
    </row>
    <row r="28" spans="2:14" ht="15.6">
      <c r="B28" s="798" t="str">
        <f>'Fertilizer Plan'!Y16</f>
        <v>None</v>
      </c>
      <c r="C28" s="79">
        <f>('Fertilizer Plan'!AC16*VLOOKUP(B28,Micronutrients,14,FALSE))/VLOOKUP(B28,Micronutrients,16,FALSE)*$F$3</f>
        <v>0</v>
      </c>
      <c r="D28" s="4" t="str">
        <f t="shared" si="3"/>
        <v>None</v>
      </c>
      <c r="H28" s="2"/>
      <c r="I28" s="57"/>
      <c r="J28" s="57" t="str">
        <f>IFERROR(VLOOKUP(H28,CornPreChemicals,4,FALSE),"")</f>
        <v/>
      </c>
      <c r="K28" s="2"/>
      <c r="L28" s="2"/>
      <c r="M28" s="57"/>
      <c r="N28" s="57" t="str">
        <f>IFERROR(VLOOKUP(L28,CornFungicides,4,FALSE),"")</f>
        <v/>
      </c>
    </row>
    <row r="29" spans="2:14" ht="15.6">
      <c r="B29" s="798" t="str">
        <f>'Fertilizer Plan'!Y17</f>
        <v>None</v>
      </c>
      <c r="C29" s="79">
        <f>('Fertilizer Plan'!AC17*VLOOKUP(B29,Micronutrients,14,FALSE))/VLOOKUP(B29,Micronutrients,16,FALSE)*$F$3</f>
        <v>0</v>
      </c>
      <c r="D29" s="4" t="str">
        <f t="shared" si="3"/>
        <v>None</v>
      </c>
      <c r="H29" s="2"/>
      <c r="I29" s="2"/>
      <c r="J29" s="57" t="str">
        <f>IFERROR(VLOOKUP(H29,CornPreChemicals,4,FALSE),"")</f>
        <v/>
      </c>
      <c r="K29" s="2"/>
      <c r="L29" s="2"/>
      <c r="M29" s="57"/>
      <c r="N29" s="57" t="str">
        <f>IFERROR(VLOOKUP(L29,CornFungicides,4,FALSE),"")</f>
        <v/>
      </c>
    </row>
    <row r="30" spans="2:14" ht="15.6">
      <c r="B30" s="798" t="str">
        <f>'Fertilizer Plan'!Y39</f>
        <v>None</v>
      </c>
      <c r="C30" s="79">
        <f>('Fertilizer Plan'!AC39*VLOOKUP(B30,Micronutrients,14,FALSE))/VLOOKUP(B30,Micronutrients,16,FALSE)*$F$3</f>
        <v>0</v>
      </c>
      <c r="D30" s="4" t="str">
        <f t="shared" si="3"/>
        <v>None</v>
      </c>
      <c r="H30" s="2"/>
      <c r="I30" s="2"/>
      <c r="J30" s="57" t="str">
        <f>IFERROR(VLOOKUP(H30,CornPreChemicals,4,FALSE),"")</f>
        <v/>
      </c>
      <c r="K30" s="2"/>
      <c r="L30" s="2"/>
      <c r="M30" s="57"/>
      <c r="N30" s="57" t="str">
        <f>IFERROR(VLOOKUP(L30,CornFungicides,4,FALSE),"")</f>
        <v/>
      </c>
    </row>
    <row r="31" spans="2:14" ht="15.6">
      <c r="B31" s="798" t="str">
        <f>'Fertilizer Plan'!Y40</f>
        <v>None</v>
      </c>
      <c r="C31" s="79">
        <f>('Fertilizer Plan'!AC40*VLOOKUP(B31,Micronutrients,14,FALSE))/VLOOKUP(B31,Micronutrients,16,FALSE)*$F$3</f>
        <v>0</v>
      </c>
      <c r="D31" s="4" t="str">
        <f t="shared" si="3"/>
        <v>None</v>
      </c>
      <c r="H31" s="2"/>
      <c r="I31" s="2"/>
      <c r="J31" s="2"/>
      <c r="K31" s="2"/>
      <c r="L31" s="2"/>
      <c r="M31" s="2"/>
      <c r="N31" s="2"/>
    </row>
    <row r="32" spans="2:14" ht="15.6">
      <c r="B32" s="798" t="str">
        <f>'Fertilizer Plan'!Y41</f>
        <v>None</v>
      </c>
      <c r="C32" s="79">
        <f>('Fertilizer Plan'!AC41*VLOOKUP(B32,Micronutrients,14,FALSE))/VLOOKUP(B32,Micronutrients,16,FALSE)*$F$3</f>
        <v>0</v>
      </c>
      <c r="D32" s="4" t="str">
        <f t="shared" si="3"/>
        <v>None</v>
      </c>
      <c r="H32" s="132" t="s">
        <v>1038</v>
      </c>
      <c r="I32" s="132" t="s">
        <v>1024</v>
      </c>
      <c r="J32" s="132" t="s">
        <v>1025</v>
      </c>
      <c r="K32" s="2"/>
      <c r="L32" s="132" t="s">
        <v>161</v>
      </c>
      <c r="M32" s="132" t="s">
        <v>1024</v>
      </c>
      <c r="N32" s="132" t="s">
        <v>1025</v>
      </c>
    </row>
    <row r="33" spans="2:14" ht="15.6">
      <c r="B33" s="798" t="str">
        <f>'Fertilizer Plan'!Y42</f>
        <v>None</v>
      </c>
      <c r="C33" s="79">
        <f>('Fertilizer Plan'!AC42*VLOOKUP(B33,Micronutrients,14,FALSE))/VLOOKUP(B33,Micronutrients,16,FALSE)*$F$3</f>
        <v>0</v>
      </c>
      <c r="D33" s="4" t="str">
        <f t="shared" si="3"/>
        <v>None</v>
      </c>
      <c r="H33" s="800" t="str" cm="1">
        <f t="array" ref="H33:I33">_xlfn._xlws.SORT(_xlfn.LET(_xlpm.a,B50:B54,_xlpm.b,C50:C54,_xlfn.HSTACK(_xlfn.UNIQUE(_xlpm.a),SUMIFS(_xlpm.b,_xlpm.a,_xlfn.UNIQUE(_xlpm.a)))))</f>
        <v>None</v>
      </c>
      <c r="I33" s="57">
        <v>0</v>
      </c>
      <c r="J33" s="57" t="str">
        <f>IFERROR(VLOOKUP(H33,CornPreChemicals,4,FALSE),"")</f>
        <v>None</v>
      </c>
      <c r="K33" s="2"/>
      <c r="L33" s="800" t="str" cm="1">
        <f t="array" ref="L33:M33">_xlfn._xlws.SORT(_xlfn.LET(_xlpm.a,B64:B68,_xlpm.b,C64:C68,_xlfn.HSTACK(_xlfn.UNIQUE(_xlpm.a),SUMIFS(_xlpm.b,_xlpm.a,_xlfn.UNIQUE(_xlpm.a)))))</f>
        <v>None</v>
      </c>
      <c r="M33" s="57">
        <v>0</v>
      </c>
      <c r="N33" s="57" t="str">
        <f>IFERROR(VLOOKUP(L33,CornInsecticides,4,FALSE),"")</f>
        <v>None</v>
      </c>
    </row>
    <row r="34" spans="2:14" ht="15.6">
      <c r="B34" s="798" t="str">
        <f>'Fertilizer Plan'!Y61</f>
        <v>None</v>
      </c>
      <c r="C34" s="79">
        <f>('Fertilizer Plan'!AC61*VLOOKUP(B34,Micronutrients,14,FALSE))/VLOOKUP(B34,Micronutrients,16,FALSE)*$F$3</f>
        <v>0</v>
      </c>
      <c r="D34" s="4" t="str">
        <f t="shared" si="3"/>
        <v>None</v>
      </c>
      <c r="H34" s="2"/>
      <c r="I34" s="57"/>
      <c r="J34" s="2"/>
      <c r="K34" s="2"/>
      <c r="L34" s="2"/>
      <c r="M34" s="57"/>
      <c r="N34" s="57" t="str">
        <f>IFERROR(VLOOKUP(L34,CornInsecticides,4,FALSE),"")</f>
        <v/>
      </c>
    </row>
    <row r="35" spans="2:14" ht="15.6">
      <c r="B35" s="798" t="str">
        <f>'Fertilizer Plan'!Y62</f>
        <v>None</v>
      </c>
      <c r="C35" s="79">
        <f>('Fertilizer Plan'!AC62*VLOOKUP(B35,Micronutrients,14,FALSE))/VLOOKUP(B35,Micronutrients,16,FALSE)*$F$3</f>
        <v>0</v>
      </c>
      <c r="D35" s="4" t="str">
        <f t="shared" si="3"/>
        <v>None</v>
      </c>
      <c r="H35" s="2"/>
      <c r="I35" s="57"/>
      <c r="J35" s="2"/>
      <c r="K35" s="2"/>
      <c r="L35" s="2"/>
      <c r="M35" s="57"/>
      <c r="N35" s="57" t="str">
        <f>IFERROR(VLOOKUP(L35,CornInsecticides,4,FALSE),"")</f>
        <v/>
      </c>
    </row>
    <row r="36" spans="2:14" ht="15.6">
      <c r="B36" s="798" t="str">
        <f>'Fertilizer Plan'!Y63</f>
        <v>None</v>
      </c>
      <c r="C36" s="79">
        <f>('Fertilizer Plan'!AC63*VLOOKUP(B36,Micronutrients,14,FALSE))/VLOOKUP(B36,Micronutrients,16,FALSE)*$F$3</f>
        <v>0</v>
      </c>
      <c r="D36" s="4" t="str">
        <f t="shared" si="3"/>
        <v>None</v>
      </c>
      <c r="H36" s="2"/>
      <c r="I36" s="57"/>
      <c r="J36" s="2"/>
      <c r="K36" s="2"/>
      <c r="L36" s="2"/>
      <c r="M36" s="57"/>
      <c r="N36" s="57" t="str">
        <f>IFERROR(VLOOKUP(L36,CornInsecticides,4,FALSE),"")</f>
        <v/>
      </c>
    </row>
    <row r="37" spans="2:14" ht="15.6">
      <c r="B37" s="798" t="str">
        <f>'Fertilizer Plan'!Y64</f>
        <v>None</v>
      </c>
      <c r="C37" s="79">
        <f>('Fertilizer Plan'!AC64*VLOOKUP(B37,Micronutrients,14,FALSE))/VLOOKUP(B37,Micronutrients,16,FALSE)*$F$3</f>
        <v>0</v>
      </c>
      <c r="D37" s="4" t="str">
        <f t="shared" si="3"/>
        <v>None</v>
      </c>
      <c r="H37" s="2"/>
      <c r="I37" s="57"/>
      <c r="J37" s="2"/>
      <c r="K37" s="2"/>
      <c r="L37" s="2"/>
      <c r="M37" s="57"/>
      <c r="N37" s="57" t="str">
        <f>IFERROR(VLOOKUP(L37,CornInsecticides,4,FALSE),"")</f>
        <v/>
      </c>
    </row>
    <row r="38" spans="2:14" ht="15.6">
      <c r="H38" s="2"/>
      <c r="I38" s="2"/>
      <c r="J38" s="2"/>
      <c r="K38" s="2"/>
      <c r="L38" s="2"/>
      <c r="M38" s="2"/>
      <c r="N38" s="2"/>
    </row>
    <row r="39" spans="2:14" ht="15.6">
      <c r="B39" s="799" t="s">
        <v>1029</v>
      </c>
      <c r="C39" s="799" t="s">
        <v>1024</v>
      </c>
      <c r="D39" s="799" t="s">
        <v>1025</v>
      </c>
      <c r="H39" s="132" t="s">
        <v>150</v>
      </c>
      <c r="I39" s="132" t="s">
        <v>1024</v>
      </c>
      <c r="J39" s="132" t="s">
        <v>1025</v>
      </c>
      <c r="K39" s="2"/>
      <c r="L39" s="2"/>
      <c r="M39" s="2"/>
      <c r="N39" s="2"/>
    </row>
    <row r="40" spans="2:14" ht="15.6">
      <c r="B40" s="798" t="str">
        <f>'Fertilizer Plan'!Y20</f>
        <v>None</v>
      </c>
      <c r="C40" s="79">
        <f>('Fertilizer Plan'!AC20*VLOOKUP(B40,Lime,14,FALSE))/VLOOKUP(B40,Lime,16,FALSE)*$F$3</f>
        <v>0</v>
      </c>
      <c r="D40" s="4" t="str">
        <f>VLOOKUP(B40,Micronutrients,17,FALSE)</f>
        <v>None</v>
      </c>
      <c r="H40" s="800" t="str" cm="1">
        <f t="array" ref="H40:I40">_xlfn._xlws.SORT(_xlfn.LET(_xlpm.a,B71:B90,_xlpm.b,C71:C90,_xlfn.HSTACK(_xlfn.UNIQUE(_xlpm.a),SUMIFS(_xlpm.b,_xlpm.a,_xlfn.UNIQUE(_xlpm.a)))))</f>
        <v>None</v>
      </c>
      <c r="I40" s="57">
        <v>0</v>
      </c>
      <c r="J40" s="57" t="str">
        <f t="shared" ref="J40:J49" si="4">IFERROR(VLOOKUP(H40,CornAdjuvants,4,FALSE),"")</f>
        <v>None</v>
      </c>
      <c r="K40" s="2"/>
      <c r="L40" s="2"/>
      <c r="M40" s="2"/>
      <c r="N40" s="2"/>
    </row>
    <row r="41" spans="2:14" ht="15.6">
      <c r="H41" s="2"/>
      <c r="I41" s="57"/>
      <c r="J41" s="57" t="str">
        <f t="shared" si="4"/>
        <v/>
      </c>
      <c r="K41" s="2"/>
      <c r="L41" s="2"/>
      <c r="M41" s="2"/>
      <c r="N41" s="2"/>
    </row>
    <row r="42" spans="2:14" ht="15.6">
      <c r="B42" s="799" t="s">
        <v>1032</v>
      </c>
      <c r="C42" s="799" t="s">
        <v>1024</v>
      </c>
      <c r="D42" s="799" t="s">
        <v>1025</v>
      </c>
      <c r="H42" s="2"/>
      <c r="I42" s="57"/>
      <c r="J42" s="57" t="str">
        <f t="shared" si="4"/>
        <v/>
      </c>
      <c r="K42" s="2"/>
      <c r="L42" s="2"/>
      <c r="M42" s="2"/>
      <c r="N42" s="2"/>
    </row>
    <row r="43" spans="2:14" ht="15.6">
      <c r="B43" t="str">
        <f>'Chemical Plan'!U6</f>
        <v>None</v>
      </c>
      <c r="C43" s="3">
        <f>'Chemical Plan'!Z6/VLOOKUP(B43,CornPreChemicals,3,FALSE)*$F$3</f>
        <v>0</v>
      </c>
      <c r="D43" s="4" t="str">
        <f>VLOOKUP(B43,CornPreChemicals,4,FALSE)</f>
        <v>None</v>
      </c>
      <c r="H43" s="2"/>
      <c r="I43" s="57"/>
      <c r="J43" s="57" t="str">
        <f t="shared" si="4"/>
        <v/>
      </c>
      <c r="K43" s="2"/>
      <c r="L43" s="2"/>
      <c r="M43" s="2"/>
      <c r="N43" s="2"/>
    </row>
    <row r="44" spans="2:14" ht="15.6">
      <c r="B44" t="str">
        <f>'Chemical Plan'!U7</f>
        <v>None</v>
      </c>
      <c r="C44" s="3">
        <f>'Chemical Plan'!Z7/VLOOKUP(B44,CornPreChemicals,3,FALSE)*$F$3</f>
        <v>0</v>
      </c>
      <c r="D44" s="4" t="str">
        <f>VLOOKUP(B44,CornPreChemicals,4,FALSE)</f>
        <v>None</v>
      </c>
      <c r="H44" s="2"/>
      <c r="I44" s="57"/>
      <c r="J44" s="57" t="str">
        <f t="shared" si="4"/>
        <v/>
      </c>
      <c r="K44" s="2"/>
      <c r="L44" s="2"/>
      <c r="M44" s="2"/>
      <c r="N44" s="2"/>
    </row>
    <row r="45" spans="2:14" ht="15.6">
      <c r="B45" t="str">
        <f>'Chemical Plan'!U8</f>
        <v>None</v>
      </c>
      <c r="C45" s="3">
        <f>'Chemical Plan'!Z8/VLOOKUP(B45,CornPreChemicals,3,FALSE)*$F$3</f>
        <v>0</v>
      </c>
      <c r="D45" s="4" t="str">
        <f>VLOOKUP(B45,CornPreChemicals,4,FALSE)</f>
        <v>None</v>
      </c>
      <c r="H45" s="2"/>
      <c r="I45" s="57"/>
      <c r="J45" s="57" t="str">
        <f t="shared" si="4"/>
        <v/>
      </c>
      <c r="K45" s="2"/>
      <c r="L45" s="2"/>
      <c r="M45" s="2"/>
      <c r="N45" s="2"/>
    </row>
    <row r="46" spans="2:14" ht="15.6">
      <c r="B46" t="str">
        <f>'Chemical Plan'!U10</f>
        <v>None</v>
      </c>
      <c r="C46" s="3">
        <f>'Chemical Plan'!Z10/VLOOKUP(B46,CornPreChemicals,3,FALSE)*$F$3</f>
        <v>0</v>
      </c>
      <c r="D46" s="4" t="str">
        <f>VLOOKUP(B46,CornPreChemicals,4,FALSE)</f>
        <v>None</v>
      </c>
      <c r="H46" s="2"/>
      <c r="I46" s="57"/>
      <c r="J46" s="57" t="str">
        <f t="shared" si="4"/>
        <v/>
      </c>
      <c r="K46" s="2"/>
      <c r="L46" s="2"/>
      <c r="M46" s="2"/>
      <c r="N46" s="2"/>
    </row>
    <row r="47" spans="2:14" ht="15.6">
      <c r="B47" t="str">
        <f>'Chemical Plan'!U11</f>
        <v>None</v>
      </c>
      <c r="C47" s="3">
        <f>'Chemical Plan'!Z11/VLOOKUP(B47,CornPreChemicals,3,FALSE)*$F$3</f>
        <v>0</v>
      </c>
      <c r="D47" s="4" t="str">
        <f>VLOOKUP(B47,CornPreChemicals,4,FALSE)</f>
        <v>None</v>
      </c>
      <c r="H47" s="2"/>
      <c r="I47" s="57"/>
      <c r="J47" s="57" t="str">
        <f t="shared" si="4"/>
        <v/>
      </c>
      <c r="K47" s="2"/>
      <c r="L47" s="2"/>
      <c r="M47" s="2"/>
      <c r="N47" s="2"/>
    </row>
    <row r="48" spans="2:14" ht="15.6">
      <c r="H48" s="2"/>
      <c r="I48" s="57"/>
      <c r="J48" s="57" t="str">
        <f t="shared" si="4"/>
        <v/>
      </c>
      <c r="K48" s="2"/>
      <c r="L48" s="2"/>
      <c r="M48" s="2"/>
      <c r="N48" s="2"/>
    </row>
    <row r="49" spans="2:10">
      <c r="B49" s="799" t="s">
        <v>1033</v>
      </c>
      <c r="C49" s="799" t="s">
        <v>1024</v>
      </c>
      <c r="D49" s="799" t="s">
        <v>1025</v>
      </c>
      <c r="I49" s="4"/>
      <c r="J49" s="4" t="str">
        <f t="shared" si="4"/>
        <v/>
      </c>
    </row>
    <row r="50" spans="2:10">
      <c r="B50" t="str">
        <f>'Chemical Plan'!U26</f>
        <v>None</v>
      </c>
      <c r="C50" s="3">
        <f>'Chemical Plan'!Z26/VLOOKUP(B50,CornPostChemicals,3,FALSE)*$F$3</f>
        <v>0</v>
      </c>
      <c r="D50" s="4" t="str">
        <f>VLOOKUP(B50,CornPostChemicals,4,FALSE)</f>
        <v>None</v>
      </c>
    </row>
    <row r="51" spans="2:10">
      <c r="B51" t="str">
        <f>'Chemical Plan'!U27</f>
        <v>None</v>
      </c>
      <c r="C51" s="3">
        <f>'Chemical Plan'!Z27/VLOOKUP(B51,CornPostChemicals,3,FALSE)*$F$3</f>
        <v>0</v>
      </c>
      <c r="D51" s="4" t="str">
        <f>VLOOKUP(B51,CornPostChemicals,4,FALSE)</f>
        <v>None</v>
      </c>
    </row>
    <row r="52" spans="2:10">
      <c r="B52" t="str">
        <f>'Chemical Plan'!U28</f>
        <v>None</v>
      </c>
      <c r="C52" s="3">
        <f>'Chemical Plan'!Z28/VLOOKUP(B52,CornPostChemicals,3,FALSE)*$F$3</f>
        <v>0</v>
      </c>
      <c r="D52" s="4" t="str">
        <f>VLOOKUP(B52,CornPostChemicals,4,FALSE)</f>
        <v>None</v>
      </c>
    </row>
    <row r="53" spans="2:10">
      <c r="B53" t="str">
        <f>'Chemical Plan'!U30</f>
        <v>None</v>
      </c>
      <c r="C53" s="3">
        <f>'Chemical Plan'!Z30/VLOOKUP(B53,CornPostChemicals,3,FALSE)*$F$3</f>
        <v>0</v>
      </c>
      <c r="D53" s="4" t="str">
        <f>VLOOKUP(B53,CornPostChemicals,4,FALSE)</f>
        <v>None</v>
      </c>
    </row>
    <row r="54" spans="2:10">
      <c r="B54" t="str">
        <f>'Chemical Plan'!U31</f>
        <v>None</v>
      </c>
      <c r="C54" s="3">
        <f>'Chemical Plan'!Z31/VLOOKUP(B54,CornPostChemicals,3,FALSE)*$F$3</f>
        <v>0</v>
      </c>
      <c r="D54" s="4" t="str">
        <f>VLOOKUP(B54,CornPostChemicals,4,FALSE)</f>
        <v>None</v>
      </c>
    </row>
    <row r="56" spans="2:10">
      <c r="B56" s="799" t="s">
        <v>1034</v>
      </c>
      <c r="C56" s="799" t="s">
        <v>1024</v>
      </c>
      <c r="D56" s="799" t="s">
        <v>1025</v>
      </c>
    </row>
    <row r="57" spans="2:10">
      <c r="B57" t="str">
        <f>'Chemical Plan'!U48</f>
        <v>None</v>
      </c>
      <c r="C57" s="3">
        <f>'Chemical Plan'!Z48/VLOOKUP(B57,CornFungicides,3,FALSE)*$F$3</f>
        <v>0</v>
      </c>
      <c r="D57" s="4" t="str">
        <f>VLOOKUP(B57,CornFungicides,4,FALSE)</f>
        <v>None</v>
      </c>
    </row>
    <row r="58" spans="2:10">
      <c r="B58" t="str">
        <f>'Chemical Plan'!U49</f>
        <v>None</v>
      </c>
      <c r="C58" s="3">
        <f>'Chemical Plan'!Z49/VLOOKUP(B58,CornFungicides,3,FALSE)*$F$3</f>
        <v>0</v>
      </c>
      <c r="D58" s="4" t="str">
        <f>VLOOKUP(B58,CornFungicides,4,FALSE)</f>
        <v>None</v>
      </c>
    </row>
    <row r="59" spans="2:10">
      <c r="B59" t="str">
        <f>'Chemical Plan'!U50</f>
        <v>None</v>
      </c>
      <c r="C59" s="3">
        <f>'Chemical Plan'!Z50/VLOOKUP(B59,CornFungicides,3,FALSE)*$F$3</f>
        <v>0</v>
      </c>
      <c r="D59" s="4" t="str">
        <f>VLOOKUP(B59,CornFungicides,4,FALSE)</f>
        <v>None</v>
      </c>
    </row>
    <row r="60" spans="2:10">
      <c r="B60" t="str">
        <f>'Chemical Plan'!U51</f>
        <v>None</v>
      </c>
      <c r="C60" s="3">
        <f>'Chemical Plan'!Z51/VLOOKUP(B60,CornFungicides,3,FALSE)*$F$3</f>
        <v>0</v>
      </c>
      <c r="D60" s="4" t="str">
        <f>VLOOKUP(B60,CornFungicides,4,FALSE)</f>
        <v>None</v>
      </c>
    </row>
    <row r="61" spans="2:10">
      <c r="B61" t="str">
        <f>'Chemical Plan'!U52</f>
        <v>None</v>
      </c>
      <c r="C61" s="3">
        <f>'Chemical Plan'!Z52/VLOOKUP(B61,CornFungicides,3,FALSE)*$F$3</f>
        <v>0</v>
      </c>
      <c r="D61" s="4" t="str">
        <f>VLOOKUP(B61,CornFungicides,4,FALSE)</f>
        <v>None</v>
      </c>
    </row>
    <row r="63" spans="2:10">
      <c r="B63" s="799" t="s">
        <v>1035</v>
      </c>
      <c r="C63" s="799" t="s">
        <v>1024</v>
      </c>
      <c r="D63" s="799" t="s">
        <v>1025</v>
      </c>
    </row>
    <row r="64" spans="2:10">
      <c r="B64" t="str">
        <f>'Chemical Plan'!U66</f>
        <v>None</v>
      </c>
      <c r="C64" s="3">
        <f>'Chemical Plan'!Z66/VLOOKUP(B64,CornInsecticides,3,FALSE)*$F$3</f>
        <v>0</v>
      </c>
      <c r="D64" s="4" t="str">
        <f>VLOOKUP(B64,CornInsecticides,4,FALSE)</f>
        <v>None</v>
      </c>
    </row>
    <row r="65" spans="2:4">
      <c r="B65" t="str">
        <f>'Chemical Plan'!U67</f>
        <v>None</v>
      </c>
      <c r="C65" s="3">
        <f>'Chemical Plan'!Z67/VLOOKUP(B65,CornInsecticides,3,FALSE)*$F$3</f>
        <v>0</v>
      </c>
      <c r="D65" s="4" t="str">
        <f>VLOOKUP(B65,CornInsecticides,4,FALSE)</f>
        <v>None</v>
      </c>
    </row>
    <row r="66" spans="2:4">
      <c r="B66" t="str">
        <f>'Chemical Plan'!U68</f>
        <v>None</v>
      </c>
      <c r="C66" s="3">
        <f>'Chemical Plan'!Z68/VLOOKUP(B66,CornInsecticides,3,FALSE)*$F$3</f>
        <v>0</v>
      </c>
      <c r="D66" s="4" t="str">
        <f>VLOOKUP(B66,CornInsecticides,4,FALSE)</f>
        <v>None</v>
      </c>
    </row>
    <row r="67" spans="2:4">
      <c r="B67" t="str">
        <f>'Chemical Plan'!U69</f>
        <v>None</v>
      </c>
      <c r="C67" s="3">
        <f>'Chemical Plan'!Z69/VLOOKUP(B67,CornInsecticides,3,FALSE)*$F$3</f>
        <v>0</v>
      </c>
      <c r="D67" s="4" t="str">
        <f>VLOOKUP(B67,CornInsecticides,4,FALSE)</f>
        <v>None</v>
      </c>
    </row>
    <row r="68" spans="2:4">
      <c r="B68" t="str">
        <f>'Chemical Plan'!U70</f>
        <v>None</v>
      </c>
      <c r="C68" s="3">
        <f>'Chemical Plan'!Z70/VLOOKUP(B68,CornInsecticides,3,FALSE)*$F$3</f>
        <v>0</v>
      </c>
      <c r="D68" s="4" t="str">
        <f>VLOOKUP(B68,CornInsecticides,4,FALSE)</f>
        <v>None</v>
      </c>
    </row>
    <row r="70" spans="2:4">
      <c r="B70" s="799" t="s">
        <v>1036</v>
      </c>
      <c r="C70" s="799" t="s">
        <v>1024</v>
      </c>
      <c r="D70" s="799" t="s">
        <v>1025</v>
      </c>
    </row>
    <row r="71" spans="2:4">
      <c r="B71" t="str">
        <f>'Chemical Plan'!U14</f>
        <v>None</v>
      </c>
      <c r="C71" s="3">
        <f>'Chemical Plan'!Z14/VLOOKUP(B71,CornAdjuvants,3,FALSE)*$F$3</f>
        <v>0</v>
      </c>
      <c r="D71" s="4" t="str">
        <f t="shared" ref="D71:D90" si="5">VLOOKUP(B71,CornAdjuvants,4,FALSE)</f>
        <v>None</v>
      </c>
    </row>
    <row r="72" spans="2:4">
      <c r="B72" t="str">
        <f>'Chemical Plan'!U15</f>
        <v>None</v>
      </c>
      <c r="C72" s="3">
        <f>'Chemical Plan'!Z15/VLOOKUP(B72,CornAdjuvants,3,FALSE)*$F$3</f>
        <v>0</v>
      </c>
      <c r="D72" s="4" t="str">
        <f t="shared" si="5"/>
        <v>None</v>
      </c>
    </row>
    <row r="73" spans="2:4">
      <c r="B73" t="str">
        <f>'Chemical Plan'!U16</f>
        <v>None</v>
      </c>
      <c r="C73" s="3">
        <f>'Chemical Plan'!Z16/VLOOKUP(B73,CornAdjuvants,3,FALSE)*$F$3</f>
        <v>0</v>
      </c>
      <c r="D73" s="4" t="str">
        <f t="shared" si="5"/>
        <v>None</v>
      </c>
    </row>
    <row r="74" spans="2:4">
      <c r="B74" t="str">
        <f>'Chemical Plan'!U17</f>
        <v>None</v>
      </c>
      <c r="C74" s="3">
        <f>'Chemical Plan'!Z17/VLOOKUP(B74,CornAdjuvants,3,FALSE)*$F$3</f>
        <v>0</v>
      </c>
      <c r="D74" s="4" t="str">
        <f t="shared" si="5"/>
        <v>None</v>
      </c>
    </row>
    <row r="75" spans="2:4">
      <c r="B75" t="str">
        <f>'Chemical Plan'!U18</f>
        <v>None</v>
      </c>
      <c r="C75" s="3">
        <f>'Chemical Plan'!Z18/VLOOKUP(B75,CornAdjuvants,3,FALSE)*$F$3</f>
        <v>0</v>
      </c>
      <c r="D75" s="4" t="str">
        <f t="shared" si="5"/>
        <v>None</v>
      </c>
    </row>
    <row r="76" spans="2:4">
      <c r="B76" t="str">
        <f>'Chemical Plan'!U35</f>
        <v>None</v>
      </c>
      <c r="C76" s="3">
        <f>'Chemical Plan'!Z35/VLOOKUP(B76,CornAdjuvants,3,FALSE)*$F$3</f>
        <v>0</v>
      </c>
      <c r="D76" s="4" t="str">
        <f t="shared" si="5"/>
        <v>None</v>
      </c>
    </row>
    <row r="77" spans="2:4">
      <c r="B77" t="str">
        <f>'Chemical Plan'!U36</f>
        <v>None</v>
      </c>
      <c r="C77" s="3">
        <f>'Chemical Plan'!Z36/VLOOKUP(B77,CornAdjuvants,3,FALSE)*$F$3</f>
        <v>0</v>
      </c>
      <c r="D77" s="4" t="str">
        <f t="shared" si="5"/>
        <v>None</v>
      </c>
    </row>
    <row r="78" spans="2:4">
      <c r="B78" t="str">
        <f>'Chemical Plan'!U37</f>
        <v>None</v>
      </c>
      <c r="C78" s="3">
        <f>'Chemical Plan'!Z37/VLOOKUP(B78,CornAdjuvants,3,FALSE)*$F$3</f>
        <v>0</v>
      </c>
      <c r="D78" s="4" t="str">
        <f t="shared" si="5"/>
        <v>None</v>
      </c>
    </row>
    <row r="79" spans="2:4">
      <c r="B79" t="str">
        <f>'Chemical Plan'!U38</f>
        <v>None</v>
      </c>
      <c r="C79" s="3">
        <f>'Chemical Plan'!Z38/VLOOKUP(B79,CornAdjuvants,3,FALSE)*$F$3</f>
        <v>0</v>
      </c>
      <c r="D79" s="4" t="str">
        <f t="shared" si="5"/>
        <v>None</v>
      </c>
    </row>
    <row r="80" spans="2:4">
      <c r="B80" t="str">
        <f>'Chemical Plan'!U39</f>
        <v>None</v>
      </c>
      <c r="C80" s="3">
        <f>'Chemical Plan'!Z39/VLOOKUP(B80,CornAdjuvants,3,FALSE)*$F$3</f>
        <v>0</v>
      </c>
      <c r="D80" s="4" t="str">
        <f t="shared" si="5"/>
        <v>None</v>
      </c>
    </row>
    <row r="81" spans="2:4">
      <c r="B81" t="str">
        <f>'Chemical Plan'!U55</f>
        <v>None</v>
      </c>
      <c r="C81" s="3">
        <f>'Chemical Plan'!Z55/VLOOKUP(B81,CornAdjuvants,3,FALSE)*$F$3</f>
        <v>0</v>
      </c>
      <c r="D81" s="4" t="str">
        <f t="shared" si="5"/>
        <v>None</v>
      </c>
    </row>
    <row r="82" spans="2:4">
      <c r="B82" t="str">
        <f>'Chemical Plan'!U56</f>
        <v>None</v>
      </c>
      <c r="C82" s="3">
        <f>'Chemical Plan'!Z56/VLOOKUP(B82,CornAdjuvants,3,FALSE)*$F$3</f>
        <v>0</v>
      </c>
      <c r="D82" s="4" t="str">
        <f t="shared" si="5"/>
        <v>None</v>
      </c>
    </row>
    <row r="83" spans="2:4">
      <c r="B83" t="str">
        <f>'Chemical Plan'!U57</f>
        <v>None</v>
      </c>
      <c r="C83" s="3">
        <f>'Chemical Plan'!Z57/VLOOKUP(B83,CornAdjuvants,3,FALSE)*$F$3</f>
        <v>0</v>
      </c>
      <c r="D83" s="4" t="str">
        <f t="shared" si="5"/>
        <v>None</v>
      </c>
    </row>
    <row r="84" spans="2:4">
      <c r="B84" t="str">
        <f>'Chemical Plan'!U58</f>
        <v>None</v>
      </c>
      <c r="C84" s="3">
        <f>'Chemical Plan'!Z58/VLOOKUP(B84,CornAdjuvants,3,FALSE)*$F$3</f>
        <v>0</v>
      </c>
      <c r="D84" s="4" t="str">
        <f t="shared" si="5"/>
        <v>None</v>
      </c>
    </row>
    <row r="85" spans="2:4">
      <c r="B85" t="str">
        <f>'Chemical Plan'!U59</f>
        <v>None</v>
      </c>
      <c r="C85" s="3">
        <f>'Chemical Plan'!Z59/VLOOKUP(B85,CornAdjuvants,3,FALSE)*$F$3</f>
        <v>0</v>
      </c>
      <c r="D85" s="4" t="str">
        <f t="shared" si="5"/>
        <v>None</v>
      </c>
    </row>
    <row r="86" spans="2:4">
      <c r="B86" t="str">
        <f>'Chemical Plan'!U73</f>
        <v>None</v>
      </c>
      <c r="C86" s="3">
        <f>'Chemical Plan'!Z73/VLOOKUP(B86,CornAdjuvants,3,FALSE)*$F$3</f>
        <v>0</v>
      </c>
      <c r="D86" s="4" t="str">
        <f t="shared" si="5"/>
        <v>None</v>
      </c>
    </row>
    <row r="87" spans="2:4">
      <c r="B87" t="str">
        <f>'Chemical Plan'!U74</f>
        <v>None</v>
      </c>
      <c r="C87" s="3">
        <f>'Chemical Plan'!Z74/VLOOKUP(B87,CornAdjuvants,3,FALSE)*$F$3</f>
        <v>0</v>
      </c>
      <c r="D87" s="4" t="str">
        <f t="shared" si="5"/>
        <v>None</v>
      </c>
    </row>
    <row r="88" spans="2:4">
      <c r="B88" t="str">
        <f>'Chemical Plan'!U75</f>
        <v>None</v>
      </c>
      <c r="C88" s="3">
        <f>'Chemical Plan'!Z75/VLOOKUP(B88,CornAdjuvants,3,FALSE)*$F$3</f>
        <v>0</v>
      </c>
      <c r="D88" s="4" t="str">
        <f t="shared" si="5"/>
        <v>None</v>
      </c>
    </row>
    <row r="89" spans="2:4">
      <c r="B89" t="str">
        <f>'Chemical Plan'!U76</f>
        <v>None</v>
      </c>
      <c r="C89" s="3">
        <f>'Chemical Plan'!Z76/VLOOKUP(B89,CornAdjuvants,3,FALSE)*$F$3</f>
        <v>0</v>
      </c>
      <c r="D89" s="4" t="str">
        <f t="shared" si="5"/>
        <v>None</v>
      </c>
    </row>
    <row r="90" spans="2:4">
      <c r="B90" t="str">
        <f>'Chemical Plan'!U77</f>
        <v>None</v>
      </c>
      <c r="C90" s="3">
        <f>'Chemical Plan'!Z77/VLOOKUP(B90,CornAdjuvants,3,FALSE)*$F$3</f>
        <v>0</v>
      </c>
      <c r="D90" s="4" t="str">
        <f t="shared" si="5"/>
        <v>None</v>
      </c>
    </row>
  </sheetData>
  <sheetProtection algorithmName="SHA-512" hashValue="qbsieNzosmlHkBSVVZ9rXHttOxms592oSsVQzCfOK9mSbX5Kx8dPkrf54OJVC54jvvMTTsT9MR3Cb/V4hszb0A==" saltValue="JDS9QnYR6AtJUt18tOwxiQ==" spinCount="100000" sheet="1" objects="1" scenarios="1"/>
  <mergeCells count="3">
    <mergeCell ref="B1:D1"/>
    <mergeCell ref="H1:N1"/>
    <mergeCell ref="H23:N23"/>
  </mergeCells>
  <conditionalFormatting sqref="H4:N70">
    <cfRule type="cellIs" dxfId="1" priority="1" operator="equal">
      <formula>0</formula>
    </cfRule>
    <cfRule type="cellIs" dxfId="0" priority="2" operator="equal">
      <formula>"None"</formula>
    </cfRule>
  </conditionalFormatting>
  <printOptions horizontalCentered="1" verticalCentered="1"/>
  <pageMargins left="0.7" right="0.7" top="0.75" bottom="0.75" header="0.3" footer="0.3"/>
  <pageSetup scale="66" orientation="landscape"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F6B0D-48FE-4009-AF4A-ADCAA4585366}">
  <sheetPr codeName="Sheet19"/>
  <dimension ref="A1:L41"/>
  <sheetViews>
    <sheetView workbookViewId="0">
      <selection activeCell="J41" sqref="J41"/>
    </sheetView>
  </sheetViews>
  <sheetFormatPr defaultColWidth="9.109375" defaultRowHeight="14.4"/>
  <cols>
    <col min="1" max="1" width="47.44140625" bestFit="1" customWidth="1"/>
    <col min="9" max="9" width="15.6640625" bestFit="1" customWidth="1"/>
    <col min="10" max="10" width="9.88671875" bestFit="1" customWidth="1"/>
    <col min="18" max="21" width="8.88671875" customWidth="1"/>
  </cols>
  <sheetData>
    <row r="1" spans="1:12">
      <c r="B1" t="s">
        <v>76</v>
      </c>
      <c r="C1" t="s">
        <v>130</v>
      </c>
      <c r="D1" t="s">
        <v>131</v>
      </c>
      <c r="J1" s="4" t="s">
        <v>76</v>
      </c>
      <c r="K1" t="s">
        <v>130</v>
      </c>
      <c r="L1" t="s">
        <v>131</v>
      </c>
    </row>
    <row r="2" spans="1:12" ht="15.6">
      <c r="A2" s="2" t="s">
        <v>92</v>
      </c>
      <c r="B2" s="1">
        <f>'Crop Budget (Main)'!C20</f>
        <v>0</v>
      </c>
      <c r="C2" s="1">
        <f>'Crop Budget (Main)'!G20</f>
        <v>0</v>
      </c>
      <c r="D2" s="1">
        <f>'Crop Budget (Main)'!K20</f>
        <v>0</v>
      </c>
      <c r="I2" t="s">
        <v>615</v>
      </c>
      <c r="J2" s="370">
        <f>'Crop Budget (Main)'!$C$49</f>
        <v>0</v>
      </c>
      <c r="K2" s="370">
        <f>'Crop Budget (Main)'!$G$49</f>
        <v>0</v>
      </c>
      <c r="L2" s="370">
        <f>'Crop Budget (Main)'!$K$49</f>
        <v>0</v>
      </c>
    </row>
    <row r="3" spans="1:12" ht="15.6">
      <c r="A3" s="2" t="s">
        <v>93</v>
      </c>
      <c r="B3" s="1">
        <f>'Crop Budget (Main)'!C21</f>
        <v>0</v>
      </c>
      <c r="C3" s="1">
        <f>'Crop Budget (Main)'!G21</f>
        <v>0</v>
      </c>
      <c r="D3" s="1">
        <f>'Crop Budget (Main)'!K21</f>
        <v>0</v>
      </c>
      <c r="I3" t="s">
        <v>616</v>
      </c>
      <c r="J3" s="370">
        <f>'Crop Budget (Main)'!$C$58</f>
        <v>0</v>
      </c>
      <c r="K3" s="370">
        <f>'Crop Budget (Main)'!$G$58</f>
        <v>0</v>
      </c>
      <c r="L3" s="370">
        <f>'Crop Budget (Main)'!$K$58</f>
        <v>0</v>
      </c>
    </row>
    <row r="4" spans="1:12" ht="15.6">
      <c r="A4" s="2" t="s">
        <v>423</v>
      </c>
      <c r="B4" s="1">
        <f>SUM(B5:B7)</f>
        <v>0</v>
      </c>
      <c r="C4" s="1">
        <f t="shared" ref="C4:D4" si="0">SUM(C5:C7)</f>
        <v>0</v>
      </c>
      <c r="D4" s="1">
        <f t="shared" si="0"/>
        <v>0</v>
      </c>
      <c r="I4" t="s">
        <v>617</v>
      </c>
      <c r="J4" s="370">
        <f>'Crop Budget (Main)'!$C$59</f>
        <v>0</v>
      </c>
      <c r="K4" s="370">
        <f>'Crop Budget (Main)'!$G$59</f>
        <v>0</v>
      </c>
      <c r="L4" s="370">
        <f>'Crop Budget (Main)'!$K$59</f>
        <v>0</v>
      </c>
    </row>
    <row r="5" spans="1:12" ht="15.6" hidden="1">
      <c r="A5" s="371" t="s">
        <v>426</v>
      </c>
      <c r="B5" s="1">
        <f>'Crop Budget (Main)'!C23</f>
        <v>0</v>
      </c>
      <c r="C5" s="1">
        <f>'Crop Budget (Main)'!G23</f>
        <v>0</v>
      </c>
      <c r="D5" s="1">
        <f>'Crop Budget (Main)'!K23</f>
        <v>0</v>
      </c>
    </row>
    <row r="6" spans="1:12" ht="15.6" hidden="1">
      <c r="A6" s="371" t="s">
        <v>123</v>
      </c>
      <c r="B6" s="1">
        <f>'Crop Budget (Main)'!C24</f>
        <v>0</v>
      </c>
      <c r="C6" s="1">
        <f>'Crop Budget (Main)'!G24</f>
        <v>0</v>
      </c>
      <c r="D6" s="1">
        <f>'Crop Budget (Main)'!K24</f>
        <v>0</v>
      </c>
    </row>
    <row r="7" spans="1:12" ht="15.6" hidden="1">
      <c r="A7" s="371" t="s">
        <v>161</v>
      </c>
      <c r="B7" s="1">
        <f>'Crop Budget (Main)'!C25</f>
        <v>0</v>
      </c>
      <c r="C7" s="1">
        <f>'Crop Budget (Main)'!G25</f>
        <v>0</v>
      </c>
      <c r="D7" s="1">
        <f>'Crop Budget (Main)'!K25</f>
        <v>0</v>
      </c>
    </row>
    <row r="8" spans="1:12" ht="15.6">
      <c r="A8" s="2" t="s">
        <v>97</v>
      </c>
      <c r="B8" s="1">
        <f>'Crop Budget (Main)'!C26</f>
        <v>0</v>
      </c>
      <c r="C8" s="1">
        <f>'Crop Budget (Main)'!G26</f>
        <v>0</v>
      </c>
      <c r="D8" s="1">
        <f>'Crop Budget (Main)'!K26</f>
        <v>0</v>
      </c>
    </row>
    <row r="9" spans="1:12" ht="15.6">
      <c r="A9" s="2" t="s">
        <v>419</v>
      </c>
      <c r="B9" s="1">
        <f>'Crop Budget (Main)'!C27</f>
        <v>0</v>
      </c>
      <c r="C9" s="1">
        <f>'Crop Budget (Main)'!G27</f>
        <v>0</v>
      </c>
      <c r="D9" s="1">
        <f>'Crop Budget (Main)'!K27</f>
        <v>0</v>
      </c>
    </row>
    <row r="10" spans="1:12" ht="15.6">
      <c r="A10" s="2" t="s">
        <v>103</v>
      </c>
      <c r="B10" s="1">
        <f>'Crop Budget (Main)'!C28</f>
        <v>0</v>
      </c>
      <c r="C10" s="1">
        <f>'Crop Budget (Main)'!G28</f>
        <v>0</v>
      </c>
      <c r="D10" s="1">
        <f>'Crop Budget (Main)'!K28</f>
        <v>0</v>
      </c>
      <c r="J10" s="4"/>
    </row>
    <row r="11" spans="1:12" ht="15.6">
      <c r="A11" s="2" t="s">
        <v>99</v>
      </c>
      <c r="B11" s="1">
        <f>SUM(B12:B13)</f>
        <v>0</v>
      </c>
      <c r="C11" s="1">
        <f t="shared" ref="C11:D11" si="1">SUM(C12:C13)</f>
        <v>0</v>
      </c>
      <c r="D11" s="1">
        <f t="shared" si="1"/>
        <v>0</v>
      </c>
      <c r="J11" s="370"/>
      <c r="K11" s="370"/>
      <c r="L11" s="370"/>
    </row>
    <row r="12" spans="1:12" hidden="1">
      <c r="A12" s="372" t="s">
        <v>100</v>
      </c>
      <c r="B12" s="1">
        <f>'Crop Budget (Main)'!C30</f>
        <v>0</v>
      </c>
      <c r="C12" s="1">
        <f>'Crop Budget (Main)'!G30</f>
        <v>0</v>
      </c>
      <c r="D12" s="1">
        <f>'Crop Budget (Main)'!K30</f>
        <v>0</v>
      </c>
      <c r="J12" s="370"/>
      <c r="K12" s="370"/>
      <c r="L12" s="370"/>
    </row>
    <row r="13" spans="1:12" hidden="1">
      <c r="A13" s="372" t="s">
        <v>101</v>
      </c>
      <c r="B13" s="1">
        <f>'Crop Budget (Main)'!C31</f>
        <v>0</v>
      </c>
      <c r="C13" s="1">
        <f>'Crop Budget (Main)'!G31</f>
        <v>0</v>
      </c>
      <c r="D13" s="1">
        <f>'Crop Budget (Main)'!K31</f>
        <v>0</v>
      </c>
    </row>
    <row r="14" spans="1:12" ht="15.6">
      <c r="A14" s="2" t="s">
        <v>102</v>
      </c>
      <c r="B14" s="1">
        <f>SUM(B15:B16)</f>
        <v>0</v>
      </c>
      <c r="C14" s="1">
        <f t="shared" ref="C14:D14" si="2">SUM(C15:C16)</f>
        <v>0</v>
      </c>
      <c r="D14" s="1">
        <f t="shared" si="2"/>
        <v>0</v>
      </c>
    </row>
    <row r="15" spans="1:12" hidden="1">
      <c r="A15" s="373" t="s">
        <v>420</v>
      </c>
      <c r="B15" s="1">
        <f>'Crop Budget (Main)'!C33</f>
        <v>0</v>
      </c>
      <c r="C15" s="1">
        <f>'Crop Budget (Main)'!G33</f>
        <v>0</v>
      </c>
      <c r="D15" s="1">
        <f>'Crop Budget (Main)'!K33</f>
        <v>0</v>
      </c>
    </row>
    <row r="16" spans="1:12" hidden="1">
      <c r="A16" s="373" t="s">
        <v>421</v>
      </c>
      <c r="B16" s="1">
        <f>'Crop Budget (Main)'!C34</f>
        <v>0</v>
      </c>
      <c r="C16" s="1">
        <f>'Crop Budget (Main)'!G34</f>
        <v>0</v>
      </c>
      <c r="D16" s="1">
        <f>'Crop Budget (Main)'!K34</f>
        <v>0</v>
      </c>
    </row>
    <row r="17" spans="1:4" ht="15.6">
      <c r="A17" s="2" t="s">
        <v>94</v>
      </c>
      <c r="B17" s="1">
        <f>SUM(B18:B20)</f>
        <v>0</v>
      </c>
      <c r="C17" s="1">
        <f t="shared" ref="C17:D17" si="3">SUM(C18:C20)</f>
        <v>0</v>
      </c>
      <c r="D17" s="1">
        <f t="shared" si="3"/>
        <v>0</v>
      </c>
    </row>
    <row r="18" spans="1:4" hidden="1">
      <c r="A18" s="372" t="s">
        <v>95</v>
      </c>
      <c r="B18" s="1">
        <f>'Crop Budget (Main)'!C36</f>
        <v>0</v>
      </c>
      <c r="C18" s="1">
        <f>'Crop Budget (Main)'!G36</f>
        <v>0</v>
      </c>
      <c r="D18" s="1">
        <f>'Crop Budget (Main)'!K36</f>
        <v>0</v>
      </c>
    </row>
    <row r="19" spans="1:4" hidden="1">
      <c r="A19" s="372" t="s">
        <v>96</v>
      </c>
      <c r="B19" s="1">
        <f>'Crop Budget (Main)'!C37</f>
        <v>0</v>
      </c>
      <c r="C19" s="1">
        <f>'Crop Budget (Main)'!G37</f>
        <v>0</v>
      </c>
      <c r="D19" s="1">
        <f>'Crop Budget (Main)'!K37</f>
        <v>0</v>
      </c>
    </row>
    <row r="20" spans="1:4" hidden="1">
      <c r="A20" s="372" t="s">
        <v>293</v>
      </c>
      <c r="B20" s="1">
        <f>'Crop Budget (Main)'!C38</f>
        <v>0</v>
      </c>
      <c r="C20" s="1">
        <f>'Crop Budget (Main)'!G38</f>
        <v>0</v>
      </c>
      <c r="D20" s="1">
        <f>'Crop Budget (Main)'!K38</f>
        <v>0</v>
      </c>
    </row>
    <row r="21" spans="1:4" ht="15.6">
      <c r="A21" s="2" t="s">
        <v>98</v>
      </c>
      <c r="B21" s="1">
        <f>'Crop Budget (Main)'!C39</f>
        <v>0</v>
      </c>
      <c r="C21" s="1">
        <f>'Crop Budget (Main)'!G39</f>
        <v>0</v>
      </c>
      <c r="D21" s="1">
        <f>'Crop Budget (Main)'!K39</f>
        <v>0</v>
      </c>
    </row>
    <row r="22" spans="1:4" ht="15.6">
      <c r="A22" s="2" t="s">
        <v>104</v>
      </c>
      <c r="B22" s="1">
        <f>'Crop Budget (Main)'!C40</f>
        <v>0</v>
      </c>
      <c r="C22" s="1">
        <f>'Crop Budget (Main)'!G40</f>
        <v>0</v>
      </c>
      <c r="D22" s="1">
        <f>'Crop Budget (Main)'!K40</f>
        <v>0</v>
      </c>
    </row>
    <row r="23" spans="1:4" ht="15.6">
      <c r="A23" s="2" t="s">
        <v>105</v>
      </c>
      <c r="B23" s="1">
        <f>'Crop Budget (Main)'!C41</f>
        <v>0</v>
      </c>
      <c r="C23" s="1">
        <f>'Crop Budget (Main)'!G41</f>
        <v>0</v>
      </c>
      <c r="D23" s="1">
        <f>'Crop Budget (Main)'!K41</f>
        <v>0</v>
      </c>
    </row>
    <row r="24" spans="1:4" ht="15.6">
      <c r="A24" s="2" t="s">
        <v>106</v>
      </c>
      <c r="B24" s="1">
        <f>SUM(B25:B26)</f>
        <v>0</v>
      </c>
      <c r="C24" s="1">
        <f t="shared" ref="C24:D24" si="4">SUM(C25:C26)</f>
        <v>0</v>
      </c>
      <c r="D24" s="1">
        <f t="shared" si="4"/>
        <v>0</v>
      </c>
    </row>
    <row r="25" spans="1:4" hidden="1">
      <c r="A25" s="372" t="s">
        <v>125</v>
      </c>
      <c r="B25" s="1">
        <f>'Crop Budget (Main)'!C43</f>
        <v>0</v>
      </c>
      <c r="C25" s="1">
        <f>'Crop Budget (Main)'!G43</f>
        <v>0</v>
      </c>
      <c r="D25" s="1">
        <f>'Crop Budget (Main)'!K43</f>
        <v>0</v>
      </c>
    </row>
    <row r="26" spans="1:4" hidden="1">
      <c r="A26" s="372" t="s">
        <v>126</v>
      </c>
      <c r="B26" s="1">
        <f>'Crop Budget (Main)'!C44</f>
        <v>0</v>
      </c>
      <c r="C26" s="1">
        <f>'Crop Budget (Main)'!G44</f>
        <v>0</v>
      </c>
      <c r="D26" s="1">
        <f>'Crop Budget (Main)'!K44</f>
        <v>0</v>
      </c>
    </row>
    <row r="27" spans="1:4" ht="15.6">
      <c r="A27" s="2" t="s">
        <v>527</v>
      </c>
      <c r="B27" s="1">
        <f>'Crop Budget (Main)'!C45</f>
        <v>0</v>
      </c>
      <c r="C27" s="1">
        <f>'Crop Budget (Main)'!G45</f>
        <v>0</v>
      </c>
      <c r="D27" s="1">
        <f>'Crop Budget (Main)'!K45</f>
        <v>0</v>
      </c>
    </row>
    <row r="28" spans="1:4" ht="15.6">
      <c r="A28" s="2" t="s">
        <v>525</v>
      </c>
      <c r="B28" s="1">
        <f>'Crop Budget (Main)'!C46</f>
        <v>0</v>
      </c>
      <c r="C28" s="1">
        <f>'Crop Budget (Main)'!G46</f>
        <v>0</v>
      </c>
      <c r="D28" s="1">
        <f>'Crop Budget (Main)'!K46</f>
        <v>0</v>
      </c>
    </row>
    <row r="29" spans="1:4" ht="15.6" hidden="1">
      <c r="A29" s="2" t="s">
        <v>528</v>
      </c>
      <c r="B29" s="1">
        <f>'Crop Budget (Main)'!C47</f>
        <v>0</v>
      </c>
      <c r="C29" s="1">
        <f>'Crop Budget (Main)'!G47</f>
        <v>0</v>
      </c>
      <c r="D29" s="1">
        <f>'Crop Budget (Main)'!K47</f>
        <v>0</v>
      </c>
    </row>
    <row r="30" spans="1:4" ht="15.6" hidden="1">
      <c r="A30" s="2" t="s">
        <v>618</v>
      </c>
      <c r="B30" s="1">
        <f>'Crop Budget (Main)'!C48</f>
        <v>0</v>
      </c>
      <c r="C30" s="1">
        <f>'Crop Budget (Main)'!G48</f>
        <v>0</v>
      </c>
      <c r="D30" s="1">
        <f>'Crop Budget (Main)'!K48</f>
        <v>0</v>
      </c>
    </row>
    <row r="31" spans="1:4" ht="15.6">
      <c r="A31" s="2" t="s">
        <v>422</v>
      </c>
      <c r="B31" s="1">
        <f>'Crop Budget (Main)'!C53</f>
        <v>0</v>
      </c>
      <c r="C31" s="1">
        <f>'Crop Budget (Main)'!G53</f>
        <v>0</v>
      </c>
      <c r="D31" s="1">
        <f>'Crop Budget (Main)'!K53</f>
        <v>0</v>
      </c>
    </row>
    <row r="32" spans="1:4" ht="15.6">
      <c r="A32" s="2" t="s">
        <v>536</v>
      </c>
      <c r="B32" s="1">
        <f>'Crop Budget (Main)'!C54</f>
        <v>0</v>
      </c>
      <c r="C32" s="1">
        <f>'Crop Budget (Main)'!G54</f>
        <v>0</v>
      </c>
      <c r="D32" s="1">
        <f>'Crop Budget (Main)'!K54</f>
        <v>0</v>
      </c>
    </row>
    <row r="33" spans="1:4" ht="15.6">
      <c r="A33" s="2" t="s">
        <v>297</v>
      </c>
      <c r="B33" s="1">
        <f>'Crop Budget (Main)'!C55</f>
        <v>0</v>
      </c>
      <c r="C33" s="1">
        <f>'Crop Budget (Main)'!G55</f>
        <v>0</v>
      </c>
      <c r="D33" s="1">
        <f>'Crop Budget (Main)'!K55</f>
        <v>0</v>
      </c>
    </row>
    <row r="34" spans="1:4" ht="15.6">
      <c r="A34" s="2" t="s">
        <v>621</v>
      </c>
      <c r="B34" s="1">
        <f>'Crop Budget (Main)'!C56</f>
        <v>0</v>
      </c>
      <c r="C34" s="1">
        <f>'Crop Budget (Main)'!G56</f>
        <v>0</v>
      </c>
      <c r="D34" s="1">
        <f>'Crop Budget (Main)'!K56</f>
        <v>0</v>
      </c>
    </row>
    <row r="35" spans="1:4" ht="15.6" hidden="1">
      <c r="A35" s="2" t="s">
        <v>619</v>
      </c>
      <c r="B35" s="1">
        <f>'Crop Budget (Main)'!C57</f>
        <v>0</v>
      </c>
      <c r="C35" s="1">
        <f>'Crop Budget (Main)'!G57</f>
        <v>0</v>
      </c>
      <c r="D35" s="1">
        <f>'Crop Budget (Main)'!K57</f>
        <v>0</v>
      </c>
    </row>
    <row r="36" spans="1:4" ht="15.6">
      <c r="A36" s="2" t="s">
        <v>623</v>
      </c>
      <c r="B36" s="1">
        <f>B35+B30</f>
        <v>0</v>
      </c>
      <c r="C36" s="1">
        <f>C35+C30</f>
        <v>0</v>
      </c>
      <c r="D36" s="1">
        <f>D35+D30</f>
        <v>0</v>
      </c>
    </row>
    <row r="37" spans="1:4" ht="15.6">
      <c r="A37" s="2" t="s">
        <v>469</v>
      </c>
      <c r="B37" s="1">
        <f>'Crop Budget (Main)'!C64</f>
        <v>0</v>
      </c>
      <c r="C37" s="1">
        <f>'Crop Budget (Main)'!G64</f>
        <v>0</v>
      </c>
      <c r="D37" s="1">
        <f>'Crop Budget (Main)'!K64</f>
        <v>0</v>
      </c>
    </row>
    <row r="38" spans="1:4" ht="15.6">
      <c r="A38" s="2" t="s">
        <v>384</v>
      </c>
      <c r="B38" s="1">
        <f>'Crop Budget (Main)'!C65</f>
        <v>0</v>
      </c>
      <c r="C38" s="1">
        <f>'Crop Budget (Main)'!G65</f>
        <v>0</v>
      </c>
      <c r="D38" s="1">
        <f>'Crop Budget (Main)'!K65</f>
        <v>0</v>
      </c>
    </row>
    <row r="39" spans="1:4" ht="15.6">
      <c r="A39" s="2" t="s">
        <v>622</v>
      </c>
      <c r="B39" s="1">
        <f>B40+B29</f>
        <v>0</v>
      </c>
      <c r="C39" s="1">
        <f>C40+C29</f>
        <v>0</v>
      </c>
      <c r="D39" s="1">
        <f>D40+D29</f>
        <v>0</v>
      </c>
    </row>
    <row r="40" spans="1:4" ht="15.6" hidden="1">
      <c r="A40" s="2" t="s">
        <v>529</v>
      </c>
      <c r="B40" s="1">
        <f>'Crop Budget (Main)'!C66</f>
        <v>0</v>
      </c>
      <c r="C40" s="1">
        <f>'Crop Budget (Main)'!G66</f>
        <v>0</v>
      </c>
      <c r="D40" s="1">
        <f>'Crop Budget (Main)'!K66</f>
        <v>0</v>
      </c>
    </row>
    <row r="41" spans="1:4" ht="15.6">
      <c r="A41" s="2" t="s">
        <v>470</v>
      </c>
      <c r="B41" s="1">
        <f>'Crop Budget (Main)'!C67</f>
        <v>0</v>
      </c>
      <c r="C41" s="1">
        <f>'Crop Budget (Main)'!G67</f>
        <v>0</v>
      </c>
      <c r="D41" s="1">
        <f>'Crop Budget (Main)'!K67</f>
        <v>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8EFC1CEF359648BC0C8AD096DB2D41" ma:contentTypeVersion="12" ma:contentTypeDescription="Create a new document." ma:contentTypeScope="" ma:versionID="4fc0d4c6a28395942ee9929752abb974">
  <xsd:schema xmlns:xsd="http://www.w3.org/2001/XMLSchema" xmlns:xs="http://www.w3.org/2001/XMLSchema" xmlns:p="http://schemas.microsoft.com/office/2006/metadata/properties" xmlns:ns1="http://schemas.microsoft.com/sharepoint/v3" xmlns:ns3="c29a6e96-27cc-4888-9e32-aed5af49d252" targetNamespace="http://schemas.microsoft.com/office/2006/metadata/properties" ma:root="true" ma:fieldsID="f786f1ff3836f4364d3595335fa3a4e9" ns1:_="" ns3:_="">
    <xsd:import namespace="http://schemas.microsoft.com/sharepoint/v3"/>
    <xsd:import namespace="c29a6e96-27cc-4888-9e32-aed5af49d2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9a6e96-27cc-4888-9e32-aed5af49d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83D39B-EAA6-4B10-B800-E5E8AD176C01}">
  <ds:schemaRefs>
    <ds:schemaRef ds:uri="http://schemas.microsoft.com/sharepoint/v3/contenttype/forms"/>
  </ds:schemaRefs>
</ds:datastoreItem>
</file>

<file path=customXml/itemProps2.xml><?xml version="1.0" encoding="utf-8"?>
<ds:datastoreItem xmlns:ds="http://schemas.openxmlformats.org/officeDocument/2006/customXml" ds:itemID="{FA522310-FB14-4E86-92B4-0E2BA8DC7145}">
  <ds:schemaRefs>
    <ds:schemaRef ds:uri="http://schemas.microsoft.com/office/2006/documentManagement/types"/>
    <ds:schemaRef ds:uri="http://purl.org/dc/dcmitype/"/>
    <ds:schemaRef ds:uri="http://purl.org/dc/elements/1.1/"/>
    <ds:schemaRef ds:uri="http://www.w3.org/XML/1998/namespace"/>
    <ds:schemaRef ds:uri="c29a6e96-27cc-4888-9e32-aed5af49d252"/>
    <ds:schemaRef ds:uri="http://schemas.microsoft.com/office/infopath/2007/PartnerControls"/>
    <ds:schemaRef ds:uri="http://schemas.microsoft.com/office/2006/metadata/properties"/>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7A3E8564-6BED-488E-A209-093F6F82C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29a6e96-27cc-4888-9e32-aed5af49d2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2177130-642f-41d9-9211-74237ad5687d}" enabled="0" method="" siteId="{22177130-642f-41d9-9211-74237ad5687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29</vt:i4>
      </vt:variant>
    </vt:vector>
  </HeadingPairs>
  <TitlesOfParts>
    <vt:vector size="52" baseType="lpstr">
      <vt:lpstr>Instructions</vt:lpstr>
      <vt:lpstr>Crop Budget (Main)</vt:lpstr>
      <vt:lpstr>Variable &amp; Fixed</vt:lpstr>
      <vt:lpstr>Chemical Plan</vt:lpstr>
      <vt:lpstr>Adjuvant Help Guide</vt:lpstr>
      <vt:lpstr>Corn K Calculations</vt:lpstr>
      <vt:lpstr>Soybean K Calculations</vt:lpstr>
      <vt:lpstr>Wheat K Calculations</vt:lpstr>
      <vt:lpstr>Nutrient Management</vt:lpstr>
      <vt:lpstr>Manure and Nutrient Credits</vt:lpstr>
      <vt:lpstr>Fertilizer Products &amp; Pricing</vt:lpstr>
      <vt:lpstr>Fertilizer Plan</vt:lpstr>
      <vt:lpstr>Loans &amp; Financing</vt:lpstr>
      <vt:lpstr>Capital &amp; Opportunity</vt:lpstr>
      <vt:lpstr>Other Income</vt:lpstr>
      <vt:lpstr>Chemical List (Corn)</vt:lpstr>
      <vt:lpstr>Chemical List (Soys)</vt:lpstr>
      <vt:lpstr>Chemical List (Wheat)</vt:lpstr>
      <vt:lpstr>Optimization</vt:lpstr>
      <vt:lpstr>Product Purchase List (Corn)</vt:lpstr>
      <vt:lpstr>Product Purchase List (Soys)</vt:lpstr>
      <vt:lpstr>Product Purchase List (Wheat)</vt:lpstr>
      <vt:lpstr>Charts</vt:lpstr>
      <vt:lpstr>CornAdjuvants</vt:lpstr>
      <vt:lpstr>CornFungicides</vt:lpstr>
      <vt:lpstr>CornInsecticides</vt:lpstr>
      <vt:lpstr>CornPostChemicals</vt:lpstr>
      <vt:lpstr>CornPreChemicals</vt:lpstr>
      <vt:lpstr>Foliars</vt:lpstr>
      <vt:lpstr>Lime</vt:lpstr>
      <vt:lpstr>Macronutrients</vt:lpstr>
      <vt:lpstr>Micronutrients</vt:lpstr>
      <vt:lpstr>NitrogenStabilizers</vt:lpstr>
      <vt:lpstr>'Capital &amp; Opportunity'!Print_Area</vt:lpstr>
      <vt:lpstr>'Chemical Plan'!Print_Area</vt:lpstr>
      <vt:lpstr>'Crop Budget (Main)'!Print_Area</vt:lpstr>
      <vt:lpstr>'Fertilizer Plan'!Print_Area</vt:lpstr>
      <vt:lpstr>'Fertilizer Products &amp; Pricing'!Print_Area</vt:lpstr>
      <vt:lpstr>Instructions!Print_Area</vt:lpstr>
      <vt:lpstr>'Loans &amp; Financing'!Print_Area</vt:lpstr>
      <vt:lpstr>'Nutrient Management'!Print_Area</vt:lpstr>
      <vt:lpstr>Optimization!Print_Area</vt:lpstr>
      <vt:lpstr>'Product Purchase List (Corn)'!Print_Area</vt:lpstr>
      <vt:lpstr>'Product Purchase List (Soys)'!Print_Area</vt:lpstr>
      <vt:lpstr>'Product Purchase List (Wheat)'!Print_Area</vt:lpstr>
      <vt:lpstr>SoybeanFungicides</vt:lpstr>
      <vt:lpstr>SoybeanInsecticides</vt:lpstr>
      <vt:lpstr>SoybeanPostChemicals</vt:lpstr>
      <vt:lpstr>SoybeanPreChemicals</vt:lpstr>
      <vt:lpstr>WheatChemicals</vt:lpstr>
      <vt:lpstr>WheatFungicides</vt:lpstr>
      <vt:lpstr>WheatInsecticides</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LaPorte, Jonathan P.</dc:creator>
  <cp:lastModifiedBy>LaPorte, Jonathan</cp:lastModifiedBy>
  <cp:lastPrinted>2024-08-20T19:40:25Z</cp:lastPrinted>
  <dcterms:created xsi:type="dcterms:W3CDTF">2018-03-23T14:51:03Z</dcterms:created>
  <dcterms:modified xsi:type="dcterms:W3CDTF">2024-08-23T00:42:54Z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0x010100068EFC1CEF359648BC0C8AD096DB2D41</vt:lpwstr>
  </property>
</Properties>
</file>